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47EB6E6-0531-43A5-8CB5-482E8437F3E5}" xr6:coauthVersionLast="47" xr6:coauthVersionMax="47" xr10:uidLastSave="{00000000-0000-0000-0000-000000000000}"/>
  <bookViews>
    <workbookView xWindow="-8820" yWindow="-15870" windowWidth="25440" windowHeight="15390" xr2:uid="{00000000-000D-0000-FFFF-FFFF00000000}"/>
  </bookViews>
  <sheets>
    <sheet name="Summary" sheetId="4" r:id="rId1"/>
    <sheet name="Carpentry" sheetId="6" r:id="rId2"/>
    <sheet name="Conc" sheetId="7" r:id="rId3"/>
    <sheet name="Reo" sheetId="3" r:id="rId4"/>
    <sheet name="Subs" sheetId="9" r:id="rId5"/>
    <sheet name="P&amp;G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F42" i="6"/>
  <c r="B2" i="9" l="1"/>
  <c r="F28" i="9"/>
  <c r="E28" i="9"/>
  <c r="D28" i="9"/>
  <c r="C28" i="9"/>
  <c r="F44" i="8" l="1"/>
  <c r="C38" i="8"/>
  <c r="F38" i="8" s="1"/>
  <c r="F35" i="8"/>
  <c r="C34" i="8"/>
  <c r="F34" i="8" s="1"/>
  <c r="C31" i="8"/>
  <c r="F31" i="8" s="1"/>
  <c r="F30" i="8"/>
  <c r="C29" i="8"/>
  <c r="F29" i="8" s="1"/>
  <c r="C28" i="8"/>
  <c r="F28" i="8" s="1"/>
  <c r="C27" i="8"/>
  <c r="F27" i="8" s="1"/>
  <c r="F26" i="8"/>
  <c r="F25" i="8"/>
  <c r="F24" i="8"/>
  <c r="F23" i="8"/>
  <c r="C20" i="8"/>
  <c r="F20" i="8" s="1"/>
  <c r="F19" i="8"/>
  <c r="C18" i="8"/>
  <c r="F18" i="8" s="1"/>
  <c r="F11" i="8"/>
  <c r="F9" i="8"/>
  <c r="E3" i="8"/>
  <c r="D10" i="8" s="1"/>
  <c r="F10" i="8" s="1"/>
  <c r="D8" i="8" l="1"/>
  <c r="F8" i="8" s="1"/>
  <c r="D15" i="8"/>
  <c r="F15" i="8" s="1"/>
  <c r="D41" i="8"/>
  <c r="F41" i="8" s="1"/>
  <c r="D14" i="8"/>
  <c r="F14" i="8" s="1"/>
  <c r="L822" i="6"/>
  <c r="L802" i="6"/>
  <c r="L791" i="6"/>
  <c r="L780" i="6"/>
  <c r="L771" i="6"/>
  <c r="L762" i="6"/>
  <c r="L749" i="6"/>
  <c r="L732" i="6"/>
  <c r="L713" i="6"/>
  <c r="L707" i="6"/>
  <c r="L701" i="6"/>
  <c r="L691" i="6"/>
  <c r="L685" i="6"/>
  <c r="L652" i="6"/>
  <c r="L626" i="6"/>
  <c r="L616" i="6"/>
  <c r="L614" i="6"/>
  <c r="L560" i="6"/>
  <c r="L547" i="6"/>
  <c r="L536" i="6"/>
  <c r="L524" i="6"/>
  <c r="L503" i="6"/>
  <c r="L501" i="6"/>
  <c r="L499" i="6"/>
  <c r="L478" i="6"/>
  <c r="L468" i="6"/>
  <c r="L371" i="7"/>
  <c r="L362" i="7"/>
  <c r="L344" i="7"/>
  <c r="F47" i="8" l="1"/>
  <c r="E7" i="4" s="1"/>
  <c r="A19" i="6"/>
  <c r="A40" i="6" s="1"/>
  <c r="B2" i="3"/>
  <c r="B2" i="6"/>
  <c r="B2" i="7" s="1"/>
  <c r="K57" i="7" l="1"/>
  <c r="I9" i="6"/>
  <c r="N9" i="3"/>
  <c r="C176" i="3" l="1"/>
  <c r="C175" i="3"/>
  <c r="K66" i="7"/>
  <c r="B63" i="7"/>
  <c r="N151" i="7"/>
  <c r="F140" i="7"/>
  <c r="F139" i="7"/>
  <c r="F69" i="7"/>
  <c r="E69" i="7"/>
  <c r="E68" i="7"/>
  <c r="F68" i="7" s="1"/>
  <c r="E67" i="7"/>
  <c r="F67" i="7" s="1"/>
  <c r="E47" i="7"/>
  <c r="F47" i="7" s="1"/>
  <c r="E46" i="7"/>
  <c r="F46" i="7" s="1"/>
  <c r="E45" i="7"/>
  <c r="F45" i="7" s="1"/>
  <c r="F165" i="7"/>
  <c r="F164" i="7"/>
  <c r="F163" i="7"/>
  <c r="F162" i="7"/>
  <c r="F161" i="7"/>
  <c r="N160" i="7"/>
  <c r="I160" i="7"/>
  <c r="F156" i="7"/>
  <c r="F155" i="7"/>
  <c r="F154" i="7"/>
  <c r="F153" i="7"/>
  <c r="F152" i="7"/>
  <c r="I151" i="7"/>
  <c r="F147" i="7"/>
  <c r="F146" i="7"/>
  <c r="F141" i="7"/>
  <c r="N138" i="7"/>
  <c r="I138" i="7"/>
  <c r="F134" i="7"/>
  <c r="F133" i="7"/>
  <c r="F132" i="7"/>
  <c r="F131" i="7"/>
  <c r="F130" i="7"/>
  <c r="N129" i="7"/>
  <c r="I129" i="7"/>
  <c r="F125" i="7"/>
  <c r="F124" i="7"/>
  <c r="F123" i="7"/>
  <c r="F120" i="7"/>
  <c r="D119" i="7"/>
  <c r="F119" i="7" s="1"/>
  <c r="F118" i="7"/>
  <c r="F117" i="7"/>
  <c r="N116" i="7"/>
  <c r="I116" i="7"/>
  <c r="F112" i="7"/>
  <c r="E111" i="7"/>
  <c r="F111" i="7" s="1"/>
  <c r="F110" i="7"/>
  <c r="F109" i="7"/>
  <c r="F108" i="7"/>
  <c r="F107" i="7"/>
  <c r="F106" i="7"/>
  <c r="N105" i="7"/>
  <c r="I105" i="7"/>
  <c r="A105" i="7"/>
  <c r="A116" i="7" s="1"/>
  <c r="A129" i="7" s="1"/>
  <c r="A138" i="7" s="1"/>
  <c r="A151" i="7" s="1"/>
  <c r="A160" i="7" s="1"/>
  <c r="F101" i="7"/>
  <c r="F100" i="7"/>
  <c r="F99" i="7"/>
  <c r="F98" i="7"/>
  <c r="F97" i="7"/>
  <c r="F96" i="7"/>
  <c r="F95" i="7"/>
  <c r="E94" i="7"/>
  <c r="F94" i="7" s="1"/>
  <c r="E93" i="7"/>
  <c r="F93" i="7" s="1"/>
  <c r="E92" i="7"/>
  <c r="F92" i="7" s="1"/>
  <c r="N91" i="7"/>
  <c r="I91" i="7"/>
  <c r="F83" i="7"/>
  <c r="F82" i="7"/>
  <c r="F81" i="7"/>
  <c r="E80" i="7"/>
  <c r="F80" i="7" s="1"/>
  <c r="F79" i="7"/>
  <c r="N78" i="7"/>
  <c r="K78" i="7"/>
  <c r="I78" i="7"/>
  <c r="F74" i="7"/>
  <c r="N66" i="7"/>
  <c r="I66" i="7"/>
  <c r="F62" i="7"/>
  <c r="F61" i="7"/>
  <c r="F60" i="7"/>
  <c r="E59" i="7"/>
  <c r="F59" i="7" s="1"/>
  <c r="F58" i="7"/>
  <c r="N57" i="7"/>
  <c r="I57" i="7"/>
  <c r="F53" i="7"/>
  <c r="F52" i="7"/>
  <c r="F51" i="7"/>
  <c r="N44" i="7"/>
  <c r="K44" i="7"/>
  <c r="I44" i="7"/>
  <c r="F40" i="7"/>
  <c r="E39" i="7"/>
  <c r="F39" i="7" s="1"/>
  <c r="F38" i="7"/>
  <c r="E37" i="7"/>
  <c r="F37" i="7" s="1"/>
  <c r="E36" i="7"/>
  <c r="F36" i="7" s="1"/>
  <c r="N35" i="7"/>
  <c r="K35" i="7"/>
  <c r="I35" i="7"/>
  <c r="F31" i="7"/>
  <c r="F30" i="7"/>
  <c r="F29" i="7"/>
  <c r="D28" i="7"/>
  <c r="C28" i="7"/>
  <c r="F27" i="7"/>
  <c r="E26" i="7"/>
  <c r="F26" i="7" s="1"/>
  <c r="F25" i="7"/>
  <c r="F24" i="7"/>
  <c r="F23" i="7"/>
  <c r="F22" i="7"/>
  <c r="F21" i="7"/>
  <c r="N20" i="7"/>
  <c r="K20" i="7"/>
  <c r="I20" i="7"/>
  <c r="A20" i="7"/>
  <c r="A35" i="7" s="1"/>
  <c r="A44" i="7" s="1"/>
  <c r="A57" i="7" s="1"/>
  <c r="A66" i="7" s="1"/>
  <c r="A78" i="7" s="1"/>
  <c r="F16" i="7"/>
  <c r="F15" i="7"/>
  <c r="F14" i="7"/>
  <c r="F13" i="7"/>
  <c r="E12" i="7"/>
  <c r="F12" i="7" s="1"/>
  <c r="E11" i="7"/>
  <c r="F11" i="7" s="1"/>
  <c r="E10" i="7"/>
  <c r="F10" i="7" s="1"/>
  <c r="N9" i="7"/>
  <c r="K9" i="7"/>
  <c r="I9" i="7"/>
  <c r="F167" i="7" l="1"/>
  <c r="F160" i="7" s="1"/>
  <c r="J160" i="7" s="1"/>
  <c r="F127" i="7"/>
  <c r="F116" i="7" s="1"/>
  <c r="V116" i="7" s="1"/>
  <c r="F149" i="7"/>
  <c r="V138" i="7" s="1"/>
  <c r="K173" i="7"/>
  <c r="F64" i="7"/>
  <c r="Q57" i="7" s="1"/>
  <c r="F76" i="7"/>
  <c r="V66" i="7" s="1"/>
  <c r="F28" i="7"/>
  <c r="F33" i="7" s="1"/>
  <c r="F136" i="7"/>
  <c r="F129" i="7" s="1"/>
  <c r="Q129" i="7" s="1"/>
  <c r="F158" i="7"/>
  <c r="F151" i="7" s="1"/>
  <c r="J151" i="7" s="1"/>
  <c r="F18" i="7"/>
  <c r="V9" i="7" s="1"/>
  <c r="F55" i="7"/>
  <c r="Q44" i="7" s="1"/>
  <c r="Q9" i="7"/>
  <c r="J9" i="7"/>
  <c r="F42" i="7"/>
  <c r="F35" i="7" s="1"/>
  <c r="F85" i="7"/>
  <c r="F78" i="7" s="1"/>
  <c r="F103" i="7"/>
  <c r="F91" i="7" s="1"/>
  <c r="F114" i="7"/>
  <c r="F105" i="7" s="1"/>
  <c r="Q151" i="7"/>
  <c r="Q138" i="7"/>
  <c r="V160" i="7"/>
  <c r="Q160" i="7"/>
  <c r="J116" i="7" l="1"/>
  <c r="Q116" i="7"/>
  <c r="V151" i="7"/>
  <c r="J138" i="7"/>
  <c r="T138" i="7" s="1"/>
  <c r="S138" i="7" s="1"/>
  <c r="J57" i="7"/>
  <c r="T57" i="7" s="1"/>
  <c r="S57" i="7" s="1"/>
  <c r="V129" i="7"/>
  <c r="V57" i="7"/>
  <c r="J129" i="7"/>
  <c r="T129" i="7" s="1"/>
  <c r="S129" i="7" s="1"/>
  <c r="J66" i="7"/>
  <c r="Q66" i="7"/>
  <c r="V44" i="7"/>
  <c r="J44" i="7"/>
  <c r="T44" i="7" s="1"/>
  <c r="S44" i="7" s="1"/>
  <c r="Q20" i="7"/>
  <c r="V20" i="7"/>
  <c r="J20" i="7"/>
  <c r="Q105" i="7"/>
  <c r="J105" i="7"/>
  <c r="V105" i="7"/>
  <c r="V35" i="7"/>
  <c r="J35" i="7"/>
  <c r="Q35" i="7"/>
  <c r="T160" i="7"/>
  <c r="S160" i="7" s="1"/>
  <c r="T116" i="7"/>
  <c r="S116" i="7" s="1"/>
  <c r="T151" i="7"/>
  <c r="S151" i="7" s="1"/>
  <c r="V91" i="7"/>
  <c r="Q91" i="7"/>
  <c r="J91" i="7"/>
  <c r="V78" i="7"/>
  <c r="J78" i="7"/>
  <c r="Q78" i="7"/>
  <c r="T9" i="7"/>
  <c r="Q173" i="7" l="1"/>
  <c r="T20" i="7"/>
  <c r="S20" i="7" s="1"/>
  <c r="T66" i="7"/>
  <c r="S66" i="7" s="1"/>
  <c r="J173" i="7"/>
  <c r="Q175" i="7" s="1"/>
  <c r="E9" i="4" s="1"/>
  <c r="T35" i="7"/>
  <c r="S35" i="7" s="1"/>
  <c r="T78" i="7"/>
  <c r="S78" i="7" s="1"/>
  <c r="T91" i="7"/>
  <c r="S91" i="7" s="1"/>
  <c r="S9" i="7"/>
  <c r="T105" i="7"/>
  <c r="S105" i="7" s="1"/>
  <c r="T173" i="7" l="1"/>
  <c r="P374" i="6" l="1"/>
  <c r="K374" i="6"/>
  <c r="F367" i="6"/>
  <c r="F366" i="6"/>
  <c r="F365" i="6"/>
  <c r="F364" i="6"/>
  <c r="F363" i="6"/>
  <c r="F362" i="6"/>
  <c r="F369" i="6" s="1"/>
  <c r="N361" i="6"/>
  <c r="I361" i="6"/>
  <c r="A361" i="6"/>
  <c r="F354" i="6"/>
  <c r="F352" i="6"/>
  <c r="F351" i="6"/>
  <c r="F350" i="6"/>
  <c r="F348" i="6"/>
  <c r="F346" i="6"/>
  <c r="F345" i="6"/>
  <c r="F344" i="6"/>
  <c r="F342" i="6"/>
  <c r="N341" i="6"/>
  <c r="I341" i="6"/>
  <c r="F337" i="6"/>
  <c r="F336" i="6"/>
  <c r="F335" i="6"/>
  <c r="F334" i="6"/>
  <c r="F333" i="6"/>
  <c r="N332" i="6"/>
  <c r="I332" i="6"/>
  <c r="F328" i="6"/>
  <c r="F327" i="6"/>
  <c r="F326" i="6"/>
  <c r="F325" i="6"/>
  <c r="F324" i="6"/>
  <c r="N323" i="6"/>
  <c r="I323" i="6"/>
  <c r="V321" i="6"/>
  <c r="N321" i="6"/>
  <c r="I321" i="6"/>
  <c r="J321" i="6" s="1"/>
  <c r="F317" i="6"/>
  <c r="C316" i="6"/>
  <c r="F316" i="6" s="1"/>
  <c r="C315" i="6"/>
  <c r="F315" i="6" s="1"/>
  <c r="F314" i="6"/>
  <c r="F313" i="6"/>
  <c r="N312" i="6"/>
  <c r="I312" i="6"/>
  <c r="F308" i="6"/>
  <c r="F306" i="6"/>
  <c r="F304" i="6"/>
  <c r="N303" i="6"/>
  <c r="I303" i="6"/>
  <c r="F299" i="6"/>
  <c r="C297" i="6"/>
  <c r="F297" i="6" s="1"/>
  <c r="F296" i="6"/>
  <c r="F295" i="6"/>
  <c r="C293" i="6"/>
  <c r="F293" i="6" s="1"/>
  <c r="F292" i="6"/>
  <c r="F291" i="6"/>
  <c r="N290" i="6"/>
  <c r="I290" i="6"/>
  <c r="A290" i="6"/>
  <c r="A303" i="6" s="1"/>
  <c r="A312" i="6" s="1"/>
  <c r="A321" i="6" s="1"/>
  <c r="A323" i="6" s="1"/>
  <c r="A332" i="6" s="1"/>
  <c r="A341" i="6" s="1"/>
  <c r="F286" i="6"/>
  <c r="C284" i="6"/>
  <c r="F284" i="6" s="1"/>
  <c r="F283" i="6"/>
  <c r="F282" i="6"/>
  <c r="C280" i="6"/>
  <c r="F280" i="6" s="1"/>
  <c r="F279" i="6"/>
  <c r="F278" i="6"/>
  <c r="C276" i="6"/>
  <c r="F276" i="6" s="1"/>
  <c r="F275" i="6"/>
  <c r="F274" i="6"/>
  <c r="N273" i="6"/>
  <c r="I273" i="6"/>
  <c r="F263" i="6"/>
  <c r="F262" i="6"/>
  <c r="N261" i="6"/>
  <c r="I261" i="6"/>
  <c r="F256" i="6"/>
  <c r="F255" i="6"/>
  <c r="N254" i="6"/>
  <c r="I254" i="6"/>
  <c r="F249" i="6"/>
  <c r="F252" i="6" s="1"/>
  <c r="F248" i="6" s="1"/>
  <c r="N248" i="6"/>
  <c r="I248" i="6"/>
  <c r="F243" i="6"/>
  <c r="F246" i="6" s="1"/>
  <c r="F242" i="6" s="1"/>
  <c r="N242" i="6"/>
  <c r="I242" i="6"/>
  <c r="F238" i="6"/>
  <c r="F237" i="6"/>
  <c r="F235" i="6"/>
  <c r="F233" i="6"/>
  <c r="N232" i="6"/>
  <c r="I232" i="6"/>
  <c r="F228" i="6"/>
  <c r="F227" i="6"/>
  <c r="N226" i="6"/>
  <c r="I226" i="6"/>
  <c r="F222" i="6"/>
  <c r="F221" i="6"/>
  <c r="F220" i="6"/>
  <c r="F219" i="6"/>
  <c r="F218" i="6"/>
  <c r="F217" i="6"/>
  <c r="F216" i="6"/>
  <c r="F215" i="6"/>
  <c r="F213" i="6"/>
  <c r="F212" i="6"/>
  <c r="F211" i="6"/>
  <c r="F210" i="6"/>
  <c r="F209" i="6"/>
  <c r="F208" i="6"/>
  <c r="F207" i="6"/>
  <c r="F206" i="6"/>
  <c r="F205" i="6"/>
  <c r="F204" i="6"/>
  <c r="F203" i="6"/>
  <c r="F200" i="6"/>
  <c r="F199" i="6"/>
  <c r="F198" i="6"/>
  <c r="F197" i="6"/>
  <c r="F196" i="6"/>
  <c r="F195" i="6"/>
  <c r="F194" i="6"/>
  <c r="N193" i="6"/>
  <c r="I193" i="6"/>
  <c r="F189" i="6"/>
  <c r="F188" i="6"/>
  <c r="F187" i="6"/>
  <c r="F186" i="6"/>
  <c r="F185" i="6"/>
  <c r="F184" i="6"/>
  <c r="F183" i="6"/>
  <c r="F182" i="6"/>
  <c r="F181" i="6"/>
  <c r="N180" i="6"/>
  <c r="I180" i="6"/>
  <c r="F176" i="6"/>
  <c r="F175" i="6"/>
  <c r="F174" i="6"/>
  <c r="F173" i="6"/>
  <c r="F172" i="6"/>
  <c r="F171" i="6"/>
  <c r="F170" i="6"/>
  <c r="F169" i="6"/>
  <c r="F168" i="6"/>
  <c r="N167" i="6"/>
  <c r="I167" i="6"/>
  <c r="F163" i="6"/>
  <c r="F162" i="6"/>
  <c r="F160" i="6"/>
  <c r="F158" i="6"/>
  <c r="N157" i="6"/>
  <c r="I157" i="6"/>
  <c r="N155" i="6"/>
  <c r="I155" i="6"/>
  <c r="F151" i="6"/>
  <c r="F150" i="6"/>
  <c r="F148" i="6"/>
  <c r="F147" i="6"/>
  <c r="F146" i="6"/>
  <c r="N145" i="6"/>
  <c r="I145" i="6"/>
  <c r="F141" i="6"/>
  <c r="D140" i="6"/>
  <c r="F140" i="6" s="1"/>
  <c r="D139" i="6"/>
  <c r="F139" i="6" s="1"/>
  <c r="F138" i="6"/>
  <c r="F137" i="6"/>
  <c r="F136" i="6"/>
  <c r="D134" i="6"/>
  <c r="F134" i="6" s="1"/>
  <c r="D133" i="6"/>
  <c r="F133" i="6" s="1"/>
  <c r="F132" i="6"/>
  <c r="F131" i="6"/>
  <c r="F130" i="6"/>
  <c r="F129" i="6"/>
  <c r="D128" i="6"/>
  <c r="F128" i="6" s="1"/>
  <c r="D127" i="6"/>
  <c r="F127" i="6" s="1"/>
  <c r="F126" i="6"/>
  <c r="F125" i="6"/>
  <c r="F124" i="6"/>
  <c r="N123" i="6"/>
  <c r="I123" i="6"/>
  <c r="F119" i="6"/>
  <c r="D118" i="6"/>
  <c r="F118" i="6" s="1"/>
  <c r="D117" i="6"/>
  <c r="F117" i="6" s="1"/>
  <c r="F116" i="6"/>
  <c r="F115" i="6"/>
  <c r="F114" i="6"/>
  <c r="D112" i="6"/>
  <c r="F112" i="6" s="1"/>
  <c r="D111" i="6"/>
  <c r="F111" i="6" s="1"/>
  <c r="F110" i="6"/>
  <c r="F109" i="6"/>
  <c r="F108" i="6"/>
  <c r="D106" i="6"/>
  <c r="F106" i="6" s="1"/>
  <c r="D105" i="6"/>
  <c r="F105" i="6" s="1"/>
  <c r="F104" i="6"/>
  <c r="F103" i="6"/>
  <c r="F102" i="6"/>
  <c r="N101" i="6"/>
  <c r="I101" i="6"/>
  <c r="F97" i="6"/>
  <c r="F96" i="6"/>
  <c r="F95" i="6"/>
  <c r="F94" i="6"/>
  <c r="F93" i="6"/>
  <c r="F92" i="6"/>
  <c r="F91" i="6"/>
  <c r="F90" i="6"/>
  <c r="F89" i="6"/>
  <c r="N88" i="6"/>
  <c r="I88" i="6"/>
  <c r="F84" i="6"/>
  <c r="F83" i="6"/>
  <c r="F82" i="6"/>
  <c r="F81" i="6"/>
  <c r="F80" i="6"/>
  <c r="F79" i="6"/>
  <c r="F78" i="6"/>
  <c r="N77" i="6"/>
  <c r="I77" i="6"/>
  <c r="F73" i="6"/>
  <c r="F72" i="6"/>
  <c r="F71" i="6"/>
  <c r="F70" i="6"/>
  <c r="F69" i="6"/>
  <c r="F68" i="6"/>
  <c r="F67" i="6"/>
  <c r="F66" i="6"/>
  <c r="N65" i="6"/>
  <c r="I65" i="6"/>
  <c r="F61" i="6"/>
  <c r="C60" i="6"/>
  <c r="F60" i="6" s="1"/>
  <c r="C59" i="6"/>
  <c r="F59" i="6" s="1"/>
  <c r="C58" i="6"/>
  <c r="F58" i="6" s="1"/>
  <c r="C57" i="6"/>
  <c r="F57" i="6" s="1"/>
  <c r="C56" i="6"/>
  <c r="F56" i="6" s="1"/>
  <c r="C54" i="6"/>
  <c r="F54" i="6" s="1"/>
  <c r="C53" i="6"/>
  <c r="F53" i="6" s="1"/>
  <c r="C52" i="6"/>
  <c r="F52" i="6" s="1"/>
  <c r="C51" i="6"/>
  <c r="F51" i="6" s="1"/>
  <c r="C50" i="6"/>
  <c r="F50" i="6" s="1"/>
  <c r="C48" i="6"/>
  <c r="F48" i="6" s="1"/>
  <c r="C47" i="6"/>
  <c r="F47" i="6" s="1"/>
  <c r="C46" i="6"/>
  <c r="F46" i="6" s="1"/>
  <c r="C45" i="6"/>
  <c r="F45" i="6" s="1"/>
  <c r="N44" i="6"/>
  <c r="I44" i="6"/>
  <c r="N42" i="6"/>
  <c r="I42" i="6"/>
  <c r="N40" i="6"/>
  <c r="I40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N19" i="6"/>
  <c r="I19" i="6"/>
  <c r="A42" i="6"/>
  <c r="A44" i="6" s="1"/>
  <c r="A65" i="6" s="1"/>
  <c r="A77" i="6" s="1"/>
  <c r="A88" i="6" s="1"/>
  <c r="A101" i="6" s="1"/>
  <c r="A123" i="6" s="1"/>
  <c r="A145" i="6" s="1"/>
  <c r="A155" i="6" s="1"/>
  <c r="A157" i="6" s="1"/>
  <c r="A167" i="6" s="1"/>
  <c r="A180" i="6" s="1"/>
  <c r="F15" i="6"/>
  <c r="F14" i="6"/>
  <c r="F13" i="6"/>
  <c r="F12" i="6"/>
  <c r="F11" i="6"/>
  <c r="F10" i="6"/>
  <c r="N9" i="6"/>
  <c r="F38" i="6" l="1"/>
  <c r="F259" i="6"/>
  <c r="F254" i="6" s="1"/>
  <c r="F266" i="6"/>
  <c r="F261" i="6" s="1"/>
  <c r="F339" i="6"/>
  <c r="F356" i="6"/>
  <c r="F341" i="6" s="1"/>
  <c r="F310" i="6"/>
  <c r="F288" i="6"/>
  <c r="F75" i="6"/>
  <c r="F165" i="6"/>
  <c r="F178" i="6"/>
  <c r="F191" i="6"/>
  <c r="Q242" i="6"/>
  <c r="A193" i="6"/>
  <c r="A226" i="6" s="1"/>
  <c r="A232" i="6" s="1"/>
  <c r="F17" i="6"/>
  <c r="F230" i="6"/>
  <c r="F240" i="6"/>
  <c r="F86" i="6"/>
  <c r="F77" i="6" s="1"/>
  <c r="Q77" i="6" s="1"/>
  <c r="F99" i="6"/>
  <c r="F143" i="6"/>
  <c r="F153" i="6"/>
  <c r="F224" i="6"/>
  <c r="F330" i="6"/>
  <c r="Q321" i="6"/>
  <c r="T321" i="6" s="1"/>
  <c r="S321" i="6" s="1"/>
  <c r="F63" i="6"/>
  <c r="F44" i="6" s="1"/>
  <c r="Q9" i="6"/>
  <c r="V9" i="6"/>
  <c r="J9" i="6"/>
  <c r="F155" i="6"/>
  <c r="F40" i="6"/>
  <c r="O40" i="6" s="1"/>
  <c r="V19" i="6"/>
  <c r="J19" i="6"/>
  <c r="Q19" i="6"/>
  <c r="V77" i="6"/>
  <c r="J77" i="6"/>
  <c r="V88" i="6"/>
  <c r="J88" i="6"/>
  <c r="Q88" i="6"/>
  <c r="Q145" i="6"/>
  <c r="J145" i="6"/>
  <c r="V145" i="6"/>
  <c r="Q193" i="6"/>
  <c r="V193" i="6"/>
  <c r="J193" i="6"/>
  <c r="F121" i="6"/>
  <c r="Q157" i="6"/>
  <c r="V157" i="6"/>
  <c r="J157" i="6"/>
  <c r="V167" i="6"/>
  <c r="J167" i="6"/>
  <c r="Q167" i="6"/>
  <c r="Q180" i="6"/>
  <c r="J180" i="6"/>
  <c r="V180" i="6"/>
  <c r="V226" i="6"/>
  <c r="J226" i="6"/>
  <c r="Q226" i="6"/>
  <c r="V248" i="6"/>
  <c r="J248" i="6"/>
  <c r="Q248" i="6"/>
  <c r="F301" i="6"/>
  <c r="F319" i="6"/>
  <c r="V323" i="6"/>
  <c r="Q323" i="6"/>
  <c r="J323" i="6"/>
  <c r="V242" i="6"/>
  <c r="J242" i="6"/>
  <c r="V254" i="6"/>
  <c r="J254" i="6"/>
  <c r="Q254" i="6"/>
  <c r="V261" i="6"/>
  <c r="Q261" i="6"/>
  <c r="J261" i="6"/>
  <c r="V273" i="6"/>
  <c r="J273" i="6"/>
  <c r="Q273" i="6"/>
  <c r="V303" i="6"/>
  <c r="J303" i="6"/>
  <c r="Q303" i="6"/>
  <c r="V332" i="6"/>
  <c r="J332" i="6"/>
  <c r="Q332" i="6"/>
  <c r="V341" i="6"/>
  <c r="J341" i="6"/>
  <c r="Q341" i="6"/>
  <c r="V361" i="6"/>
  <c r="J361" i="6"/>
  <c r="Q361" i="6"/>
  <c r="T193" i="6" l="1"/>
  <c r="S193" i="6" s="1"/>
  <c r="T157" i="6"/>
  <c r="S157" i="6" s="1"/>
  <c r="J65" i="6"/>
  <c r="J232" i="6"/>
  <c r="V123" i="6"/>
  <c r="Q232" i="6"/>
  <c r="V65" i="6"/>
  <c r="T242" i="6"/>
  <c r="S242" i="6" s="1"/>
  <c r="V232" i="6"/>
  <c r="J123" i="6"/>
  <c r="Q123" i="6"/>
  <c r="Q65" i="6"/>
  <c r="O374" i="6"/>
  <c r="A242" i="6"/>
  <c r="A248" i="6" s="1"/>
  <c r="A254" i="6" s="1"/>
  <c r="A261" i="6" s="1"/>
  <c r="T332" i="6"/>
  <c r="S332" i="6" s="1"/>
  <c r="T167" i="6"/>
  <c r="S167" i="6" s="1"/>
  <c r="T145" i="6"/>
  <c r="S145" i="6" s="1"/>
  <c r="T88" i="6"/>
  <c r="S88" i="6" s="1"/>
  <c r="T77" i="6"/>
  <c r="S77" i="6" s="1"/>
  <c r="T273" i="6"/>
  <c r="S273" i="6" s="1"/>
  <c r="T261" i="6"/>
  <c r="S261" i="6" s="1"/>
  <c r="T254" i="6"/>
  <c r="S254" i="6" s="1"/>
  <c r="T323" i="6"/>
  <c r="S323" i="6" s="1"/>
  <c r="T361" i="6"/>
  <c r="S361" i="6" s="1"/>
  <c r="T226" i="6"/>
  <c r="S226" i="6" s="1"/>
  <c r="T341" i="6"/>
  <c r="S341" i="6" s="1"/>
  <c r="T303" i="6"/>
  <c r="S303" i="6" s="1"/>
  <c r="V290" i="6"/>
  <c r="J290" i="6"/>
  <c r="Q290" i="6"/>
  <c r="T248" i="6"/>
  <c r="S248" i="6" s="1"/>
  <c r="T180" i="6"/>
  <c r="S180" i="6" s="1"/>
  <c r="V101" i="6"/>
  <c r="J101" i="6"/>
  <c r="Q101" i="6"/>
  <c r="T19" i="6"/>
  <c r="S19" i="6" s="1"/>
  <c r="V40" i="6"/>
  <c r="J40" i="6"/>
  <c r="Q40" i="6"/>
  <c r="Q155" i="6"/>
  <c r="V155" i="6"/>
  <c r="J155" i="6"/>
  <c r="T9" i="6"/>
  <c r="V312" i="6"/>
  <c r="J312" i="6"/>
  <c r="Q312" i="6"/>
  <c r="V42" i="6"/>
  <c r="J42" i="6"/>
  <c r="Q42" i="6"/>
  <c r="V44" i="6"/>
  <c r="J44" i="6"/>
  <c r="Q44" i="6"/>
  <c r="T65" i="6" l="1"/>
  <c r="S65" i="6" s="1"/>
  <c r="T123" i="6"/>
  <c r="S123" i="6" s="1"/>
  <c r="T232" i="6"/>
  <c r="S232" i="6" s="1"/>
  <c r="T155" i="6"/>
  <c r="S155" i="6" s="1"/>
  <c r="V374" i="6"/>
  <c r="T312" i="6"/>
  <c r="S312" i="6" s="1"/>
  <c r="Q374" i="6"/>
  <c r="T44" i="6"/>
  <c r="S44" i="6" s="1"/>
  <c r="T42" i="6"/>
  <c r="S42" i="6" s="1"/>
  <c r="S9" i="6"/>
  <c r="T40" i="6"/>
  <c r="S40" i="6" s="1"/>
  <c r="T101" i="6"/>
  <c r="S101" i="6" s="1"/>
  <c r="T290" i="6"/>
  <c r="S290" i="6" s="1"/>
  <c r="J374" i="6"/>
  <c r="Q376" i="6" l="1"/>
  <c r="T374" i="6"/>
  <c r="E8" i="4" l="1"/>
  <c r="E41" i="3" l="1"/>
  <c r="F43" i="3"/>
  <c r="F42" i="3"/>
  <c r="N40" i="3"/>
  <c r="I40" i="3"/>
  <c r="E221" i="3"/>
  <c r="D220" i="3"/>
  <c r="F220" i="3" s="1"/>
  <c r="F187" i="3"/>
  <c r="F186" i="3"/>
  <c r="F185" i="3"/>
  <c r="F184" i="3"/>
  <c r="N183" i="3"/>
  <c r="I183" i="3"/>
  <c r="F176" i="3"/>
  <c r="F175" i="3"/>
  <c r="F174" i="3"/>
  <c r="F173" i="3"/>
  <c r="F172" i="3"/>
  <c r="N171" i="3"/>
  <c r="I171" i="3"/>
  <c r="F247" i="3"/>
  <c r="F246" i="3"/>
  <c r="F245" i="3"/>
  <c r="F244" i="3"/>
  <c r="F243" i="3"/>
  <c r="N242" i="3"/>
  <c r="I242" i="3"/>
  <c r="D234" i="3"/>
  <c r="C219" i="3"/>
  <c r="D206" i="3"/>
  <c r="F206" i="3" s="1"/>
  <c r="D219" i="3"/>
  <c r="D221" i="3"/>
  <c r="F223" i="3"/>
  <c r="F218" i="3"/>
  <c r="N217" i="3"/>
  <c r="I217" i="3"/>
  <c r="F210" i="3"/>
  <c r="D205" i="3"/>
  <c r="D207" i="3" s="1"/>
  <c r="F207" i="3" s="1"/>
  <c r="F204" i="3"/>
  <c r="N203" i="3"/>
  <c r="I203" i="3"/>
  <c r="D164" i="3"/>
  <c r="F164" i="3" s="1"/>
  <c r="D163" i="3"/>
  <c r="F163" i="3" s="1"/>
  <c r="D162" i="3"/>
  <c r="F162" i="3" s="1"/>
  <c r="D161" i="3"/>
  <c r="F161" i="3" s="1"/>
  <c r="D160" i="3"/>
  <c r="F160" i="3" s="1"/>
  <c r="N159" i="3"/>
  <c r="I159" i="3"/>
  <c r="F152" i="3"/>
  <c r="F151" i="3"/>
  <c r="F150" i="3"/>
  <c r="F149" i="3"/>
  <c r="F148" i="3"/>
  <c r="N147" i="3"/>
  <c r="I147" i="3"/>
  <c r="F221" i="3" l="1"/>
  <c r="F41" i="3"/>
  <c r="F45" i="3" s="1"/>
  <c r="F48" i="3" s="1"/>
  <c r="Q40" i="3" s="1"/>
  <c r="F189" i="3"/>
  <c r="F192" i="3" s="1"/>
  <c r="Q183" i="3" s="1"/>
  <c r="F178" i="3"/>
  <c r="F181" i="3" s="1"/>
  <c r="F171" i="3" s="1"/>
  <c r="Q171" i="3" s="1"/>
  <c r="F249" i="3"/>
  <c r="F252" i="3" s="1"/>
  <c r="F205" i="3"/>
  <c r="F219" i="3"/>
  <c r="D208" i="3"/>
  <c r="F208" i="3" s="1"/>
  <c r="D222" i="3"/>
  <c r="F222" i="3" s="1"/>
  <c r="F225" i="3" s="1"/>
  <c r="F228" i="3" s="1"/>
  <c r="F217" i="3" s="1"/>
  <c r="Q217" i="3" s="1"/>
  <c r="F166" i="3"/>
  <c r="F169" i="3" s="1"/>
  <c r="Q159" i="3" s="1"/>
  <c r="F154" i="3"/>
  <c r="F157" i="3" s="1"/>
  <c r="Q147" i="3" s="1"/>
  <c r="D128" i="3"/>
  <c r="F128" i="3" s="1"/>
  <c r="D127" i="3"/>
  <c r="F127" i="3" s="1"/>
  <c r="D126" i="3"/>
  <c r="F126" i="3" s="1"/>
  <c r="E125" i="3"/>
  <c r="D125" i="3"/>
  <c r="E124" i="3"/>
  <c r="D124" i="3"/>
  <c r="N123" i="3"/>
  <c r="I123" i="3"/>
  <c r="I135" i="3"/>
  <c r="N135" i="3"/>
  <c r="F136" i="3"/>
  <c r="F116" i="3"/>
  <c r="F102" i="3"/>
  <c r="F104" i="3"/>
  <c r="F103" i="3"/>
  <c r="F101" i="3"/>
  <c r="N100" i="3"/>
  <c r="I100" i="3"/>
  <c r="C91" i="3"/>
  <c r="F91" i="3" s="1"/>
  <c r="C90" i="3"/>
  <c r="F90" i="3" s="1"/>
  <c r="C89" i="3"/>
  <c r="F89" i="3" s="1"/>
  <c r="C88" i="3"/>
  <c r="F88" i="3" s="1"/>
  <c r="C87" i="3"/>
  <c r="F93" i="3"/>
  <c r="N86" i="3"/>
  <c r="I86" i="3"/>
  <c r="C78" i="3"/>
  <c r="F78" i="3" s="1"/>
  <c r="C77" i="3"/>
  <c r="F77" i="3" s="1"/>
  <c r="C76" i="3"/>
  <c r="F76" i="3" s="1"/>
  <c r="C75" i="3"/>
  <c r="F75" i="3" s="1"/>
  <c r="F79" i="3"/>
  <c r="N74" i="3"/>
  <c r="I74" i="3"/>
  <c r="F65" i="3"/>
  <c r="F66" i="3"/>
  <c r="F67" i="3"/>
  <c r="F64" i="3"/>
  <c r="F63" i="3"/>
  <c r="N62" i="3"/>
  <c r="I62" i="3"/>
  <c r="D33" i="3"/>
  <c r="F32" i="3"/>
  <c r="N31" i="3"/>
  <c r="I31" i="3"/>
  <c r="A21" i="3"/>
  <c r="A31" i="3" s="1"/>
  <c r="D24" i="3"/>
  <c r="F24" i="3" s="1"/>
  <c r="D13" i="3"/>
  <c r="F13" i="3" s="1"/>
  <c r="D14" i="3"/>
  <c r="F14" i="3" s="1"/>
  <c r="D23" i="3"/>
  <c r="F23" i="3" s="1"/>
  <c r="D22" i="3"/>
  <c r="F22" i="3" s="1"/>
  <c r="N21" i="3"/>
  <c r="I21" i="3"/>
  <c r="E12" i="3"/>
  <c r="D12" i="3"/>
  <c r="E11" i="3"/>
  <c r="D10" i="3"/>
  <c r="D11" i="3"/>
  <c r="E10" i="3"/>
  <c r="K261" i="3"/>
  <c r="F235" i="3"/>
  <c r="F234" i="3"/>
  <c r="F233" i="3"/>
  <c r="F232" i="3"/>
  <c r="F231" i="3"/>
  <c r="N230" i="3"/>
  <c r="I230" i="3"/>
  <c r="F199" i="3"/>
  <c r="F198" i="3"/>
  <c r="F197" i="3"/>
  <c r="E196" i="3"/>
  <c r="F196" i="3" s="1"/>
  <c r="F195" i="3"/>
  <c r="N194" i="3"/>
  <c r="I194" i="3"/>
  <c r="F140" i="3"/>
  <c r="F139" i="3"/>
  <c r="F138" i="3"/>
  <c r="F137" i="3"/>
  <c r="F115" i="3"/>
  <c r="F114" i="3"/>
  <c r="F113" i="3"/>
  <c r="F112" i="3"/>
  <c r="N111" i="3"/>
  <c r="I111" i="3"/>
  <c r="F55" i="3"/>
  <c r="F54" i="3"/>
  <c r="F53" i="3"/>
  <c r="F52" i="3"/>
  <c r="F51" i="3"/>
  <c r="N50" i="3"/>
  <c r="I50" i="3"/>
  <c r="I9" i="3"/>
  <c r="F212" i="3" l="1"/>
  <c r="F215" i="3" s="1"/>
  <c r="F203" i="3" s="1"/>
  <c r="Q203" i="3" s="1"/>
  <c r="F11" i="3"/>
  <c r="A40" i="3"/>
  <c r="A50" i="3" s="1"/>
  <c r="F124" i="3"/>
  <c r="J40" i="3"/>
  <c r="T40" i="3" s="1"/>
  <c r="S40" i="3" s="1"/>
  <c r="V40" i="3"/>
  <c r="J183" i="3"/>
  <c r="T183" i="3" s="1"/>
  <c r="S183" i="3" s="1"/>
  <c r="V183" i="3"/>
  <c r="J171" i="3"/>
  <c r="T171" i="3" s="1"/>
  <c r="S171" i="3" s="1"/>
  <c r="V171" i="3"/>
  <c r="V242" i="3"/>
  <c r="Q242" i="3"/>
  <c r="J242" i="3"/>
  <c r="F237" i="3"/>
  <c r="F240" i="3" s="1"/>
  <c r="J217" i="3"/>
  <c r="T217" i="3" s="1"/>
  <c r="S217" i="3" s="1"/>
  <c r="V217" i="3"/>
  <c r="F125" i="3"/>
  <c r="F130" i="3" s="1"/>
  <c r="F133" i="3" s="1"/>
  <c r="J203" i="3"/>
  <c r="T203" i="3" s="1"/>
  <c r="S203" i="3" s="1"/>
  <c r="F12" i="3"/>
  <c r="J159" i="3"/>
  <c r="T159" i="3" s="1"/>
  <c r="S159" i="3" s="1"/>
  <c r="V159" i="3"/>
  <c r="J147" i="3"/>
  <c r="T147" i="3" s="1"/>
  <c r="S147" i="3" s="1"/>
  <c r="V147" i="3"/>
  <c r="F118" i="3"/>
  <c r="F121" i="3" s="1"/>
  <c r="F142" i="3"/>
  <c r="F145" i="3" s="1"/>
  <c r="F106" i="3"/>
  <c r="F109" i="3" s="1"/>
  <c r="C92" i="3"/>
  <c r="F92" i="3" s="1"/>
  <c r="F87" i="3"/>
  <c r="F81" i="3"/>
  <c r="F84" i="3" s="1"/>
  <c r="A62" i="3"/>
  <c r="A74" i="3" s="1"/>
  <c r="A86" i="3" s="1"/>
  <c r="A100" i="3" s="1"/>
  <c r="A111" i="3" s="1"/>
  <c r="A123" i="3" s="1"/>
  <c r="A135" i="3" s="1"/>
  <c r="F69" i="3"/>
  <c r="F72" i="3" s="1"/>
  <c r="V62" i="3" s="1"/>
  <c r="F33" i="3"/>
  <c r="F35" i="3" s="1"/>
  <c r="F38" i="3" s="1"/>
  <c r="F57" i="3"/>
  <c r="F201" i="3"/>
  <c r="J194" i="3" s="1"/>
  <c r="F10" i="3"/>
  <c r="F26" i="3"/>
  <c r="V203" i="3" l="1"/>
  <c r="F29" i="3"/>
  <c r="Q21" i="3" s="1"/>
  <c r="D26" i="3"/>
  <c r="B26" i="3" s="1"/>
  <c r="T242" i="3"/>
  <c r="S242" i="3" s="1"/>
  <c r="F16" i="3"/>
  <c r="Q194" i="3"/>
  <c r="T194" i="3" s="1"/>
  <c r="S194" i="3" s="1"/>
  <c r="J230" i="3"/>
  <c r="Q230" i="3"/>
  <c r="V230" i="3"/>
  <c r="V194" i="3"/>
  <c r="A147" i="3"/>
  <c r="A159" i="3" s="1"/>
  <c r="Q123" i="3"/>
  <c r="J123" i="3"/>
  <c r="V123" i="3"/>
  <c r="V135" i="3"/>
  <c r="J135" i="3"/>
  <c r="Q135" i="3"/>
  <c r="V111" i="3"/>
  <c r="V100" i="3"/>
  <c r="Q100" i="3"/>
  <c r="J100" i="3"/>
  <c r="F95" i="3"/>
  <c r="F98" i="3" s="1"/>
  <c r="F86" i="3" s="1"/>
  <c r="J86" i="3" s="1"/>
  <c r="V74" i="3"/>
  <c r="Q74" i="3"/>
  <c r="J74" i="3"/>
  <c r="Q62" i="3"/>
  <c r="J62" i="3"/>
  <c r="F60" i="3"/>
  <c r="Q50" i="3" s="1"/>
  <c r="V31" i="3"/>
  <c r="Q31" i="3"/>
  <c r="J31" i="3"/>
  <c r="J21" i="3"/>
  <c r="T230" i="3" l="1"/>
  <c r="S230" i="3" s="1"/>
  <c r="V21" i="3"/>
  <c r="F19" i="3"/>
  <c r="J9" i="3" s="1"/>
  <c r="D16" i="3"/>
  <c r="B16" i="3" s="1"/>
  <c r="A171" i="3"/>
  <c r="A183" i="3" s="1"/>
  <c r="A194" i="3" s="1"/>
  <c r="A203" i="3" s="1"/>
  <c r="A217" i="3" s="1"/>
  <c r="A230" i="3" s="1"/>
  <c r="A242" i="3" s="1"/>
  <c r="T123" i="3"/>
  <c r="S123" i="3" s="1"/>
  <c r="T135" i="3"/>
  <c r="S135" i="3" s="1"/>
  <c r="Q111" i="3"/>
  <c r="J111" i="3"/>
  <c r="T100" i="3"/>
  <c r="S100" i="3" s="1"/>
  <c r="T74" i="3"/>
  <c r="S74" i="3" s="1"/>
  <c r="V86" i="3"/>
  <c r="Q86" i="3"/>
  <c r="T86" i="3" s="1"/>
  <c r="S86" i="3" s="1"/>
  <c r="T62" i="3"/>
  <c r="S62" i="3" s="1"/>
  <c r="J50" i="3"/>
  <c r="V50" i="3"/>
  <c r="T31" i="3"/>
  <c r="S31" i="3" s="1"/>
  <c r="T21" i="3"/>
  <c r="S21" i="3" s="1"/>
  <c r="V9" i="3" l="1"/>
  <c r="Q9" i="3"/>
  <c r="T9" i="3" s="1"/>
  <c r="S9" i="3" s="1"/>
  <c r="J261" i="3"/>
  <c r="Q261" i="3"/>
  <c r="T111" i="3"/>
  <c r="S111" i="3" s="1"/>
  <c r="T50" i="3"/>
  <c r="S50" i="3" s="1"/>
  <c r="Q263" i="3" l="1"/>
  <c r="E10" i="4" s="1"/>
  <c r="E14" i="4" s="1"/>
  <c r="E17" i="4" s="1"/>
  <c r="T261" i="3"/>
  <c r="B38" i="4" l="1"/>
  <c r="B39" i="4" s="1"/>
  <c r="B40" i="4" s="1"/>
  <c r="B41" i="4" s="1"/>
  <c r="B42" i="4" s="1"/>
  <c r="B43" i="4" s="1"/>
  <c r="B44" i="4" s="1"/>
  <c r="B45" i="4" s="1"/>
  <c r="B46" i="4" s="1"/>
  <c r="B47" i="4" s="1"/>
  <c r="B30" i="4"/>
  <c r="B31" i="4" s="1"/>
  <c r="E19" i="4" l="1"/>
  <c r="E20" i="4" l="1"/>
</calcChain>
</file>

<file path=xl/sharedStrings.xml><?xml version="1.0" encoding="utf-8"?>
<sst xmlns="http://schemas.openxmlformats.org/spreadsheetml/2006/main" count="538" uniqueCount="248">
  <si>
    <t>Item</t>
  </si>
  <si>
    <t>Description</t>
  </si>
  <si>
    <t>Qty</t>
  </si>
  <si>
    <t>Unit</t>
  </si>
  <si>
    <t>Constant</t>
  </si>
  <si>
    <t>Labour Amount</t>
  </si>
  <si>
    <t>Subs</t>
  </si>
  <si>
    <t>Material Rate</t>
  </si>
  <si>
    <t>Material Amount</t>
  </si>
  <si>
    <t>Labour Rate</t>
  </si>
  <si>
    <t>m2</t>
  </si>
  <si>
    <t>Fixings</t>
  </si>
  <si>
    <t>Waste %</t>
  </si>
  <si>
    <t>Waste $</t>
  </si>
  <si>
    <t>Trade Total</t>
  </si>
  <si>
    <t>Margin</t>
  </si>
  <si>
    <t>P&amp;G</t>
  </si>
  <si>
    <t>Cartage</t>
  </si>
  <si>
    <t>Labour Rate:</t>
  </si>
  <si>
    <t>Item Total</t>
  </si>
  <si>
    <t>Unit Rate</t>
  </si>
  <si>
    <t>Total Hours</t>
  </si>
  <si>
    <t>Carpentry</t>
  </si>
  <si>
    <t>Total</t>
  </si>
  <si>
    <t>Make good to walls after removal</t>
  </si>
  <si>
    <t>Make good to floors and ceilings</t>
  </si>
  <si>
    <t>100x50 Sundry nogs</t>
  </si>
  <si>
    <t>Clarificartions (both projects)</t>
  </si>
  <si>
    <t>No allowance for gutters or downpipes</t>
  </si>
  <si>
    <t>No demolition to any building services</t>
  </si>
  <si>
    <t>No Internal Doors</t>
  </si>
  <si>
    <t>No allowance to make good floor once floor coverings removed</t>
  </si>
  <si>
    <t>Trade Summary</t>
  </si>
  <si>
    <t>Provisional Sums (included within the Carpentry Trade Amount)</t>
  </si>
  <si>
    <r>
      <rPr>
        <b/>
        <sz val="11"/>
        <color theme="1"/>
        <rFont val="Calibri"/>
        <family val="2"/>
        <scheme val="minor"/>
      </rPr>
      <t xml:space="preserve">Lvl 1 </t>
    </r>
    <r>
      <rPr>
        <sz val="11"/>
        <color theme="1"/>
        <rFont val="Calibri"/>
        <family val="2"/>
        <scheme val="minor"/>
      </rPr>
      <t xml:space="preserve">                  grid L5</t>
    </r>
  </si>
  <si>
    <t>L5a</t>
  </si>
  <si>
    <t>kit / res</t>
  </si>
  <si>
    <t>LA</t>
  </si>
  <si>
    <t>m</t>
  </si>
  <si>
    <t>kit etc</t>
  </si>
  <si>
    <t>meeting etc</t>
  </si>
  <si>
    <r>
      <t>Lvl 2</t>
    </r>
    <r>
      <rPr>
        <sz val="11"/>
        <color theme="1"/>
        <rFont val="Calibri"/>
        <family val="2"/>
        <scheme val="minor"/>
      </rPr>
      <t xml:space="preserve">                          L5</t>
    </r>
  </si>
  <si>
    <r>
      <t>Lvl 3</t>
    </r>
    <r>
      <rPr>
        <sz val="11"/>
        <color theme="1"/>
        <rFont val="Calibri"/>
        <family val="2"/>
        <scheme val="minor"/>
      </rPr>
      <t xml:space="preserve">                          L5</t>
    </r>
  </si>
  <si>
    <r>
      <rPr>
        <b/>
        <sz val="11"/>
        <color theme="1"/>
        <rFont val="Calibri"/>
        <family val="2"/>
        <scheme val="minor"/>
      </rPr>
      <t xml:space="preserve">Lvl 1 </t>
    </r>
    <r>
      <rPr>
        <sz val="11"/>
        <color theme="1"/>
        <rFont val="Calibri"/>
        <family val="2"/>
        <scheme val="minor"/>
      </rPr>
      <t xml:space="preserve">                  grid LA</t>
    </r>
  </si>
  <si>
    <t>LB</t>
  </si>
  <si>
    <r>
      <t>Lvl 2</t>
    </r>
    <r>
      <rPr>
        <sz val="11"/>
        <color theme="1"/>
        <rFont val="Calibri"/>
        <family val="2"/>
        <scheme val="minor"/>
      </rPr>
      <t xml:space="preserve">                          LA</t>
    </r>
  </si>
  <si>
    <r>
      <t>Lvl 3</t>
    </r>
    <r>
      <rPr>
        <sz val="11"/>
        <color theme="1"/>
        <rFont val="Calibri"/>
        <family val="2"/>
        <scheme val="minor"/>
      </rPr>
      <t xml:space="preserve">                          LA</t>
    </r>
  </si>
  <si>
    <t>140 x 45 framing to conc columns</t>
  </si>
  <si>
    <t>90 x 45 stud</t>
  </si>
  <si>
    <t>90 x 45 bottom plate</t>
  </si>
  <si>
    <t>90 x 45 top plate</t>
  </si>
  <si>
    <t>90 x 45 nogs</t>
  </si>
  <si>
    <t>90 x 45 framing to conc columns</t>
  </si>
  <si>
    <t>45 x 45 framing to conc columns</t>
  </si>
  <si>
    <t>nogs</t>
  </si>
  <si>
    <t>50 x 25 batten</t>
  </si>
  <si>
    <t>12 x 12 anodised angle</t>
  </si>
  <si>
    <t>140 x 45 general framing</t>
  </si>
  <si>
    <t>skirting 3/505</t>
  </si>
  <si>
    <t>blocking 7+10/510</t>
  </si>
  <si>
    <t>90 x 45 general framing</t>
  </si>
  <si>
    <t>bulkhead 4/510</t>
  </si>
  <si>
    <t>Walls</t>
  </si>
  <si>
    <t>2/290 x 45 lintel</t>
  </si>
  <si>
    <r>
      <rPr>
        <b/>
        <sz val="11"/>
        <color theme="1"/>
        <rFont val="Calibri"/>
        <family val="2"/>
        <scheme val="minor"/>
      </rPr>
      <t xml:space="preserve">Lvl 1 </t>
    </r>
    <r>
      <rPr>
        <sz val="11"/>
        <color theme="1"/>
        <rFont val="Calibri"/>
        <family val="2"/>
        <scheme val="minor"/>
      </rPr>
      <t xml:space="preserve">                  grid L5a</t>
    </r>
  </si>
  <si>
    <r>
      <t>Lvl 2</t>
    </r>
    <r>
      <rPr>
        <sz val="11"/>
        <color theme="1"/>
        <rFont val="Calibri"/>
        <family val="2"/>
        <scheme val="minor"/>
      </rPr>
      <t xml:space="preserve">                          L5a</t>
    </r>
  </si>
  <si>
    <r>
      <t>Lvl 3</t>
    </r>
    <r>
      <rPr>
        <sz val="11"/>
        <color theme="1"/>
        <rFont val="Calibri"/>
        <family val="2"/>
        <scheme val="minor"/>
      </rPr>
      <t xml:space="preserve">                          L5a</t>
    </r>
  </si>
  <si>
    <t>head 5/510</t>
  </si>
  <si>
    <t>100 x 10 skirting</t>
  </si>
  <si>
    <t>13 std gib</t>
  </si>
  <si>
    <t>resource</t>
  </si>
  <si>
    <t>40 x 18 rebated bead</t>
  </si>
  <si>
    <t xml:space="preserve">     store</t>
  </si>
  <si>
    <r>
      <rPr>
        <b/>
        <sz val="11"/>
        <color theme="1"/>
        <rFont val="Calibri"/>
        <family val="2"/>
        <scheme val="minor"/>
      </rPr>
      <t xml:space="preserve">Lvl 1 </t>
    </r>
    <r>
      <rPr>
        <sz val="11"/>
        <color theme="1"/>
        <rFont val="Calibri"/>
        <family val="2"/>
        <scheme val="minor"/>
      </rPr>
      <t xml:space="preserve">                            kit</t>
    </r>
  </si>
  <si>
    <r>
      <rPr>
        <b/>
        <sz val="11"/>
        <color theme="1"/>
        <rFont val="Calibri"/>
        <family val="2"/>
        <scheme val="minor"/>
      </rPr>
      <t xml:space="preserve">Lvl 2 </t>
    </r>
    <r>
      <rPr>
        <sz val="11"/>
        <color theme="1"/>
        <rFont val="Calibri"/>
        <family val="2"/>
        <scheme val="minor"/>
      </rPr>
      <t xml:space="preserve">                            kit</t>
    </r>
  </si>
  <si>
    <t>comms</t>
  </si>
  <si>
    <t>cleaners</t>
  </si>
  <si>
    <r>
      <rPr>
        <b/>
        <sz val="11"/>
        <color theme="1"/>
        <rFont val="Calibri"/>
        <family val="2"/>
        <scheme val="minor"/>
      </rPr>
      <t xml:space="preserve">Lvl 3 </t>
    </r>
    <r>
      <rPr>
        <sz val="11"/>
        <color theme="1"/>
        <rFont val="Calibri"/>
        <family val="2"/>
        <scheme val="minor"/>
      </rPr>
      <t xml:space="preserve">                            kit</t>
    </r>
  </si>
  <si>
    <t>L5a  WL4</t>
  </si>
  <si>
    <t>12 veneered ply</t>
  </si>
  <si>
    <t>col</t>
  </si>
  <si>
    <r>
      <rPr>
        <b/>
        <sz val="11"/>
        <color theme="1"/>
        <rFont val="Calibri"/>
        <family val="2"/>
        <scheme val="minor"/>
      </rPr>
      <t xml:space="preserve">Lvl 1 </t>
    </r>
    <r>
      <rPr>
        <sz val="11"/>
        <color theme="1"/>
        <rFont val="Calibri"/>
        <family val="2"/>
        <scheme val="minor"/>
      </rPr>
      <t xml:space="preserve">                            cols</t>
    </r>
  </si>
  <si>
    <r>
      <rPr>
        <b/>
        <sz val="11"/>
        <color theme="1"/>
        <rFont val="Calibri"/>
        <family val="2"/>
        <scheme val="minor"/>
      </rPr>
      <t xml:space="preserve">Lvl 2 </t>
    </r>
    <r>
      <rPr>
        <sz val="11"/>
        <color theme="1"/>
        <rFont val="Calibri"/>
        <family val="2"/>
        <scheme val="minor"/>
      </rPr>
      <t xml:space="preserve">                            cols</t>
    </r>
  </si>
  <si>
    <r>
      <rPr>
        <b/>
        <sz val="11"/>
        <color theme="1"/>
        <rFont val="Calibri"/>
        <family val="2"/>
        <scheme val="minor"/>
      </rPr>
      <t xml:space="preserve">Lvl 3 </t>
    </r>
    <r>
      <rPr>
        <sz val="11"/>
        <color theme="1"/>
        <rFont val="Calibri"/>
        <family val="2"/>
        <scheme val="minor"/>
      </rPr>
      <t xml:space="preserve">                            cols</t>
    </r>
  </si>
  <si>
    <t>Building paper</t>
  </si>
  <si>
    <t>100 dpc</t>
  </si>
  <si>
    <t xml:space="preserve">R2.2 fibreglass insulation </t>
  </si>
  <si>
    <t>L5</t>
  </si>
  <si>
    <t>above ceilings</t>
  </si>
  <si>
    <t>Roof</t>
  </si>
  <si>
    <t>90 x 45 parapet framing</t>
  </si>
  <si>
    <t>L8</t>
  </si>
  <si>
    <r>
      <t xml:space="preserve">L8     </t>
    </r>
    <r>
      <rPr>
        <sz val="11"/>
        <color theme="1"/>
        <rFont val="Calibri"/>
        <family val="2"/>
        <scheme val="minor"/>
      </rPr>
      <t xml:space="preserve">              plate</t>
    </r>
  </si>
  <si>
    <t>nog</t>
  </si>
  <si>
    <t>stud</t>
  </si>
  <si>
    <r>
      <t xml:space="preserve">LA     </t>
    </r>
    <r>
      <rPr>
        <sz val="11"/>
        <color theme="1"/>
        <rFont val="Calibri"/>
        <family val="2"/>
        <scheme val="minor"/>
      </rPr>
      <t xml:space="preserve">              plate</t>
    </r>
  </si>
  <si>
    <r>
      <t xml:space="preserve">LC     </t>
    </r>
    <r>
      <rPr>
        <sz val="11"/>
        <color theme="1"/>
        <rFont val="Calibri"/>
        <family val="2"/>
        <scheme val="minor"/>
      </rPr>
      <t xml:space="preserve">              plate</t>
    </r>
  </si>
  <si>
    <t>90 x 45 gutter framing</t>
  </si>
  <si>
    <t>290 x 45 gutter framing (shaped)</t>
  </si>
  <si>
    <t>90 x 45 soffit framing</t>
  </si>
  <si>
    <t>Sum</t>
  </si>
  <si>
    <t>L6 + 7</t>
  </si>
  <si>
    <t>6 villaboard soffit - flush finish by others</t>
  </si>
  <si>
    <t>17 ply roof, parapet and gutter substrate</t>
  </si>
  <si>
    <t>Gutter   LA</t>
  </si>
  <si>
    <t>Gutter   LC</t>
  </si>
  <si>
    <t>25 x25 angle to gutter</t>
  </si>
  <si>
    <t>LC</t>
  </si>
  <si>
    <t>No allowance for roof, flashings roofing insulation etc</t>
  </si>
  <si>
    <t>No installation only of new windows</t>
  </si>
  <si>
    <t xml:space="preserve">R3.0, 100 fibreglass board insulation </t>
  </si>
  <si>
    <t>40 Kooltherm insulation</t>
  </si>
  <si>
    <t>13 std gib adhered to insulation</t>
  </si>
  <si>
    <t>Ceilings</t>
  </si>
  <si>
    <t>13 std gib (fixing to framing - by others)</t>
  </si>
  <si>
    <t>90 x 45 sundry framing</t>
  </si>
  <si>
    <t>Column pads</t>
  </si>
  <si>
    <t>m3</t>
  </si>
  <si>
    <t>Foundation beam</t>
  </si>
  <si>
    <t>Columns</t>
  </si>
  <si>
    <t>grd</t>
  </si>
  <si>
    <t>lvls 2+3</t>
  </si>
  <si>
    <t>125 floor slab on grade</t>
  </si>
  <si>
    <t>p1</t>
  </si>
  <si>
    <t>p2</t>
  </si>
  <si>
    <t>p3</t>
  </si>
  <si>
    <t>p4</t>
  </si>
  <si>
    <t>grid L5a / LB</t>
  </si>
  <si>
    <t>post base</t>
  </si>
  <si>
    <t>ST1</t>
  </si>
  <si>
    <t>ST2</t>
  </si>
  <si>
    <t>100 floor slab to precast</t>
  </si>
  <si>
    <t>Concrete</t>
  </si>
  <si>
    <t>Formwork</t>
  </si>
  <si>
    <t>500 high to column pads</t>
  </si>
  <si>
    <t>500 high foundation beam</t>
  </si>
  <si>
    <t>thickenings</t>
  </si>
  <si>
    <t>300 x 300 columns</t>
  </si>
  <si>
    <t>piles</t>
  </si>
  <si>
    <t>c1</t>
  </si>
  <si>
    <t>c2</t>
  </si>
  <si>
    <t>c3</t>
  </si>
  <si>
    <t>225 x 100 high nib</t>
  </si>
  <si>
    <t>100 high nib</t>
  </si>
  <si>
    <t>l8</t>
  </si>
  <si>
    <t>Stitch beams</t>
  </si>
  <si>
    <t>la</t>
  </si>
  <si>
    <t>edge thickenings</t>
  </si>
  <si>
    <t>125 floor slab edge</t>
  </si>
  <si>
    <t>100 floor slab edge to precast</t>
  </si>
  <si>
    <t>Stitch beams (edge and soffit)</t>
  </si>
  <si>
    <t>Reinforcing Steel</t>
  </si>
  <si>
    <t>Reinforcing</t>
  </si>
  <si>
    <t>XD20 to column pads</t>
  </si>
  <si>
    <t>kg</t>
  </si>
  <si>
    <t>XD16 to column pads</t>
  </si>
  <si>
    <t>post top</t>
  </si>
  <si>
    <t>XD12 to column pads (top)</t>
  </si>
  <si>
    <t>XD25 to foundation beam</t>
  </si>
  <si>
    <t>XD16 to foundation beam</t>
  </si>
  <si>
    <t>laps</t>
  </si>
  <si>
    <t>XD12 stirrup to foundation beam</t>
  </si>
  <si>
    <t>XD12 starter to foundation beam</t>
  </si>
  <si>
    <t>XD12 rod to foundation beam</t>
  </si>
  <si>
    <t>XD20 to columns</t>
  </si>
  <si>
    <r>
      <t>stirrups</t>
    </r>
    <r>
      <rPr>
        <sz val="11"/>
        <color theme="1"/>
        <rFont val="Calibri"/>
        <family val="2"/>
        <scheme val="minor"/>
      </rPr>
      <t xml:space="preserve">             c1</t>
    </r>
  </si>
  <si>
    <t>XD12 stirrups to columns</t>
  </si>
  <si>
    <t>XD25 to stitch beams</t>
  </si>
  <si>
    <t>XD16 to stitch beams</t>
  </si>
  <si>
    <t>XD12 stirrup to stitch beams</t>
  </si>
  <si>
    <t>nib</t>
  </si>
  <si>
    <t>HDM 430-200 mesh to floor</t>
  </si>
  <si>
    <t>XD12 to floor</t>
  </si>
  <si>
    <t>XD16 to floor</t>
  </si>
  <si>
    <t>XD12 to nib</t>
  </si>
  <si>
    <t>XD16 column tie</t>
  </si>
  <si>
    <t>XD25 to beam / slab junction</t>
  </si>
  <si>
    <t>la / lc</t>
  </si>
  <si>
    <t>l5a</t>
  </si>
  <si>
    <t>XD16 to beam / slab junction</t>
  </si>
  <si>
    <t>XD20 starter</t>
  </si>
  <si>
    <t>Misc sealants etc</t>
  </si>
  <si>
    <t>Sub Total</t>
  </si>
  <si>
    <t xml:space="preserve">Programme </t>
  </si>
  <si>
    <t>weeks</t>
  </si>
  <si>
    <t>months</t>
  </si>
  <si>
    <t>Quantity</t>
  </si>
  <si>
    <t>Weeks</t>
  </si>
  <si>
    <t>Months</t>
  </si>
  <si>
    <t>Rate</t>
  </si>
  <si>
    <t>Site setup</t>
  </si>
  <si>
    <t>Site accomodation - rental</t>
  </si>
  <si>
    <t>Transportation for site huts (on/off site)</t>
  </si>
  <si>
    <t>Toilet blocks - rental</t>
  </si>
  <si>
    <t>Transportation of toilets blocks (on/off site)</t>
  </si>
  <si>
    <t>Data and communication</t>
  </si>
  <si>
    <t>Mobile phones -rental</t>
  </si>
  <si>
    <t>IT equipment</t>
  </si>
  <si>
    <t>Hoardings and fencing</t>
  </si>
  <si>
    <t>Temporary fencing - rental</t>
  </si>
  <si>
    <t>Hoarding</t>
  </si>
  <si>
    <t>Site signboard</t>
  </si>
  <si>
    <t>Utilites</t>
  </si>
  <si>
    <t>Power - connection/life guards</t>
  </si>
  <si>
    <t>Water connection</t>
  </si>
  <si>
    <t>Project management</t>
  </si>
  <si>
    <t>Site manager (100%)</t>
  </si>
  <si>
    <t>Quantity surveyor (20%)</t>
  </si>
  <si>
    <t>QA</t>
  </si>
  <si>
    <t>Programmer</t>
  </si>
  <si>
    <t xml:space="preserve">Health and Safety </t>
  </si>
  <si>
    <t>Cleaning</t>
  </si>
  <si>
    <t>Bin rental</t>
  </si>
  <si>
    <t>Final clean</t>
  </si>
  <si>
    <t>Temporary works</t>
  </si>
  <si>
    <t>Scaffolding - mobile</t>
  </si>
  <si>
    <t>Insurances</t>
  </si>
  <si>
    <t>Public liablilty</t>
  </si>
  <si>
    <t>Others</t>
  </si>
  <si>
    <t>Temporary protection (allowance)</t>
  </si>
  <si>
    <t>TOTAL</t>
  </si>
  <si>
    <t>SUBCONTRACTOR ANALYSIS</t>
  </si>
  <si>
    <t>Worksection</t>
  </si>
  <si>
    <t>ESTIMATE</t>
  </si>
  <si>
    <t>OFFER A</t>
  </si>
  <si>
    <t>OFFER B</t>
  </si>
  <si>
    <t>OFFER C</t>
  </si>
  <si>
    <t>Name</t>
  </si>
  <si>
    <t>Bid</t>
  </si>
  <si>
    <t>Tags</t>
  </si>
  <si>
    <t>Offer A</t>
  </si>
  <si>
    <t>A.1</t>
  </si>
  <si>
    <t>A.2</t>
  </si>
  <si>
    <t>A.3</t>
  </si>
  <si>
    <t>Offer B</t>
  </si>
  <si>
    <t>B.1</t>
  </si>
  <si>
    <t>B.2</t>
  </si>
  <si>
    <t>B.3</t>
  </si>
  <si>
    <t>Offer C</t>
  </si>
  <si>
    <t>C.1</t>
  </si>
  <si>
    <t>C.2</t>
  </si>
  <si>
    <t>C.3</t>
  </si>
  <si>
    <t>Adjusted</t>
  </si>
  <si>
    <t>To Summary</t>
  </si>
  <si>
    <t>Plug</t>
  </si>
  <si>
    <t>??</t>
  </si>
  <si>
    <t>GFA</t>
  </si>
  <si>
    <t>New1 Warehouse and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</si>
</sst>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.0%"/>
    <numFmt numFmtId="166" formatCode="0.00_ ;[Red]\-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0" fontId="0" fillId="3" borderId="0" xfId="0" applyFill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 indent="1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0" fillId="3" borderId="1" xfId="1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3" fontId="2" fillId="3" borderId="1" xfId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right" indent="1"/>
    </xf>
    <xf numFmtId="164" fontId="0" fillId="2" borderId="1" xfId="0" applyNumberFormat="1" applyFill="1" applyBorder="1" applyAlignment="1">
      <alignment horizontal="right" indent="1"/>
    </xf>
    <xf numFmtId="164" fontId="0" fillId="3" borderId="1" xfId="1" applyNumberFormat="1" applyFont="1" applyFill="1" applyBorder="1" applyAlignment="1">
      <alignment horizontal="right" indent="1"/>
    </xf>
    <xf numFmtId="164" fontId="2" fillId="3" borderId="1" xfId="1" applyNumberFormat="1" applyFont="1" applyFill="1" applyBorder="1" applyAlignment="1">
      <alignment horizontal="right" indent="1"/>
    </xf>
    <xf numFmtId="164" fontId="0" fillId="0" borderId="0" xfId="0" applyNumberFormat="1" applyAlignment="1">
      <alignment horizontal="right" indent="1"/>
    </xf>
    <xf numFmtId="165" fontId="0" fillId="0" borderId="1" xfId="2" applyNumberFormat="1" applyFont="1" applyBorder="1" applyAlignment="1">
      <alignment horizontal="right" indent="1"/>
    </xf>
    <xf numFmtId="165" fontId="2" fillId="3" borderId="1" xfId="1" applyNumberFormat="1" applyFont="1" applyFill="1" applyBorder="1" applyAlignment="1">
      <alignment horizontal="right" indent="1"/>
    </xf>
    <xf numFmtId="165" fontId="0" fillId="0" borderId="0" xfId="0" applyNumberFormat="1" applyAlignment="1">
      <alignment horizontal="right" inden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43" fontId="0" fillId="3" borderId="4" xfId="1" applyFont="1" applyFill="1" applyBorder="1" applyAlignment="1">
      <alignment horizontal="center" vertical="top" wrapText="1"/>
    </xf>
    <xf numFmtId="164" fontId="0" fillId="3" borderId="4" xfId="0" applyNumberFormat="1" applyFill="1" applyBorder="1" applyAlignment="1">
      <alignment horizontal="center" vertical="top" wrapText="1"/>
    </xf>
    <xf numFmtId="164" fontId="0" fillId="3" borderId="5" xfId="0" applyNumberFormat="1" applyFill="1" applyBorder="1" applyAlignment="1">
      <alignment horizontal="center" vertical="top" wrapText="1"/>
    </xf>
    <xf numFmtId="164" fontId="0" fillId="3" borderId="6" xfId="0" applyNumberFormat="1" applyFill="1" applyBorder="1" applyAlignment="1">
      <alignment horizontal="center" vertical="top" wrapText="1"/>
    </xf>
    <xf numFmtId="9" fontId="0" fillId="0" borderId="2" xfId="2" applyFont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166" fontId="0" fillId="0" borderId="1" xfId="2" applyNumberFormat="1" applyFont="1" applyBorder="1" applyAlignment="1"/>
    <xf numFmtId="166" fontId="0" fillId="2" borderId="1" xfId="2" applyNumberFormat="1" applyFont="1" applyFill="1" applyBorder="1" applyAlignment="1"/>
    <xf numFmtId="43" fontId="0" fillId="3" borderId="2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 indent="1"/>
    </xf>
    <xf numFmtId="164" fontId="0" fillId="3" borderId="1" xfId="0" applyNumberFormat="1" applyFill="1" applyBorder="1" applyAlignment="1">
      <alignment horizontal="right" indent="1"/>
    </xf>
    <xf numFmtId="165" fontId="0" fillId="0" borderId="1" xfId="2" applyNumberFormat="1" applyFont="1" applyBorder="1" applyAlignment="1"/>
    <xf numFmtId="165" fontId="0" fillId="2" borderId="1" xfId="2" applyNumberFormat="1" applyFont="1" applyFill="1" applyBorder="1" applyAlignment="1"/>
    <xf numFmtId="0" fontId="0" fillId="3" borderId="0" xfId="0" applyFill="1" applyAlignment="1">
      <alignment horizontal="right" vertical="top" wrapText="1"/>
    </xf>
    <xf numFmtId="43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43" fontId="0" fillId="3" borderId="0" xfId="1" applyFont="1" applyFill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 indent="1"/>
    </xf>
    <xf numFmtId="4" fontId="0" fillId="0" borderId="0" xfId="1" applyNumberFormat="1" applyFont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2" fillId="2" borderId="1" xfId="0" applyFont="1" applyFill="1" applyBorder="1" applyAlignment="1">
      <alignment horizontal="right" indent="1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top"/>
    </xf>
    <xf numFmtId="43" fontId="0" fillId="3" borderId="1" xfId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5" fontId="0" fillId="0" borderId="1" xfId="2" applyNumberFormat="1" applyFont="1" applyBorder="1" applyAlignment="1">
      <alignment vertical="top"/>
    </xf>
    <xf numFmtId="166" fontId="0" fillId="0" borderId="1" xfId="2" applyNumberFormat="1" applyFont="1" applyBorder="1" applyAlignment="1">
      <alignment vertical="top"/>
    </xf>
    <xf numFmtId="164" fontId="0" fillId="3" borderId="1" xfId="0" applyNumberFormat="1" applyFill="1" applyBorder="1" applyAlignment="1">
      <alignment horizontal="right" vertical="top"/>
    </xf>
    <xf numFmtId="0" fontId="0" fillId="0" borderId="0" xfId="0" applyAlignment="1">
      <alignment vertical="top"/>
    </xf>
    <xf numFmtId="2" fontId="0" fillId="0" borderId="0" xfId="0" applyNumberFormat="1" applyAlignment="1">
      <alignment horizontal="right" vertical="top"/>
    </xf>
    <xf numFmtId="43" fontId="0" fillId="0" borderId="0" xfId="0" applyNumberFormat="1" applyAlignment="1">
      <alignment horizontal="right" vertical="top"/>
    </xf>
    <xf numFmtId="0" fontId="0" fillId="0" borderId="1" xfId="0" quotePrefix="1" applyBorder="1" applyAlignment="1">
      <alignment horizontal="center"/>
    </xf>
    <xf numFmtId="164" fontId="0" fillId="0" borderId="0" xfId="0" applyNumberFormat="1"/>
    <xf numFmtId="164" fontId="0" fillId="3" borderId="4" xfId="0" applyNumberFormat="1" applyFill="1" applyBorder="1" applyAlignment="1">
      <alignment vertical="top"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3" borderId="1" xfId="0" applyNumberFormat="1" applyFill="1" applyBorder="1"/>
    <xf numFmtId="164" fontId="0" fillId="0" borderId="1" xfId="0" applyNumberFormat="1" applyBorder="1"/>
    <xf numFmtId="164" fontId="2" fillId="3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43" fontId="0" fillId="3" borderId="1" xfId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165" fontId="0" fillId="0" borderId="1" xfId="2" applyNumberFormat="1" applyFont="1" applyBorder="1" applyAlignment="1">
      <alignment vertical="top" wrapText="1"/>
    </xf>
    <xf numFmtId="166" fontId="0" fillId="0" borderId="1" xfId="2" applyNumberFormat="1" applyFont="1" applyBorder="1" applyAlignment="1">
      <alignment vertical="top" wrapText="1"/>
    </xf>
    <xf numFmtId="164" fontId="0" fillId="3" borderId="1" xfId="0" applyNumberFormat="1" applyFill="1" applyBorder="1" applyAlignment="1">
      <alignment horizontal="right"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right" vertical="top" wrapText="1"/>
    </xf>
    <xf numFmtId="43" fontId="0" fillId="0" borderId="0" xfId="0" applyNumberFormat="1" applyAlignment="1">
      <alignment horizontal="right" vertical="top" wrapText="1"/>
    </xf>
    <xf numFmtId="0" fontId="0" fillId="0" borderId="7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3" fontId="6" fillId="0" borderId="8" xfId="1" applyFont="1" applyFill="1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0" fontId="7" fillId="0" borderId="8" xfId="0" applyFont="1" applyBorder="1"/>
    <xf numFmtId="43" fontId="6" fillId="2" borderId="1" xfId="1" applyFont="1" applyFill="1" applyBorder="1"/>
    <xf numFmtId="0" fontId="7" fillId="0" borderId="0" xfId="0" applyFont="1" applyAlignment="1" applyProtection="1">
      <alignment horizontal="center"/>
      <protection locked="0"/>
    </xf>
    <xf numFmtId="44" fontId="7" fillId="0" borderId="0" xfId="3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44" fontId="7" fillId="0" borderId="0" xfId="3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44" fontId="7" fillId="4" borderId="1" xfId="3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44" fontId="7" fillId="4" borderId="1" xfId="3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0" xfId="0" applyFont="1" applyFill="1" applyProtection="1">
      <protection locked="0"/>
    </xf>
    <xf numFmtId="44" fontId="7" fillId="0" borderId="11" xfId="3" applyFont="1" applyBorder="1" applyProtection="1">
      <protection locked="0"/>
    </xf>
    <xf numFmtId="44" fontId="7" fillId="0" borderId="12" xfId="3" applyFont="1" applyBorder="1" applyProtection="1">
      <protection locked="0"/>
    </xf>
    <xf numFmtId="44" fontId="7" fillId="5" borderId="1" xfId="3" applyFont="1" applyFill="1" applyBorder="1" applyProtection="1">
      <protection locked="0"/>
    </xf>
    <xf numFmtId="44" fontId="7" fillId="0" borderId="8" xfId="3" applyFont="1" applyBorder="1" applyProtection="1">
      <protection locked="0"/>
    </xf>
    <xf numFmtId="44" fontId="7" fillId="0" borderId="10" xfId="3" applyFont="1" applyBorder="1" applyProtection="1">
      <protection locked="0"/>
    </xf>
    <xf numFmtId="0" fontId="7" fillId="4" borderId="0" xfId="0" applyFont="1" applyFill="1" applyAlignment="1" applyProtection="1">
      <alignment horizontal="left"/>
      <protection locked="0"/>
    </xf>
    <xf numFmtId="44" fontId="7" fillId="0" borderId="2" xfId="3" applyFont="1" applyBorder="1" applyProtection="1">
      <protection locked="0"/>
    </xf>
    <xf numFmtId="44" fontId="7" fillId="0" borderId="13" xfId="3" applyFont="1" applyBorder="1" applyProtection="1">
      <protection locked="0"/>
    </xf>
    <xf numFmtId="0" fontId="7" fillId="4" borderId="1" xfId="0" applyFont="1" applyFill="1" applyBorder="1" applyProtection="1">
      <protection locked="0"/>
    </xf>
    <xf numFmtId="44" fontId="7" fillId="4" borderId="1" xfId="0" applyNumberFormat="1" applyFont="1" applyFill="1" applyBorder="1" applyProtection="1">
      <protection locked="0"/>
    </xf>
    <xf numFmtId="44" fontId="7" fillId="4" borderId="9" xfId="0" applyNumberFormat="1" applyFont="1" applyFill="1" applyBorder="1" applyProtection="1">
      <protection locked="0"/>
    </xf>
    <xf numFmtId="0" fontId="7" fillId="4" borderId="14" xfId="0" applyFont="1" applyFill="1" applyBorder="1" applyProtection="1">
      <protection locked="0"/>
    </xf>
    <xf numFmtId="44" fontId="7" fillId="4" borderId="0" xfId="3" applyFont="1" applyFill="1" applyProtection="1">
      <protection locked="0"/>
    </xf>
    <xf numFmtId="44" fontId="7" fillId="0" borderId="15" xfId="3" applyFont="1" applyBorder="1" applyProtection="1">
      <protection locked="0"/>
    </xf>
    <xf numFmtId="43" fontId="0" fillId="0" borderId="0" xfId="1" applyFont="1" applyAlignment="1">
      <alignment horizontal="right"/>
    </xf>
    <xf numFmtId="43" fontId="0" fillId="0" borderId="7" xfId="1" applyFont="1" applyBorder="1"/>
    <xf numFmtId="43" fontId="4" fillId="0" borderId="0" xfId="1" applyFont="1" applyAlignment="1">
      <alignment vertical="center"/>
    </xf>
    <xf numFmtId="43" fontId="2" fillId="0" borderId="0" xfId="1" applyFont="1"/>
    <xf numFmtId="43" fontId="0" fillId="0" borderId="0" xfId="1" applyFont="1" applyFill="1" applyAlignme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7"/>
  <sheetViews>
    <sheetView tabSelected="1" workbookViewId="0"/>
  </sheetViews>
  <sheetFormatPr defaultRowHeight="14.5" x14ac:dyDescent="0.35"/>
  <cols>
    <col min="3" max="3" width="12.08984375" customWidth="1"/>
    <col min="4" max="4" width="8" customWidth="1"/>
    <col min="5" max="5" width="17.453125" style="60" customWidth="1"/>
    <col min="7" max="7" width="23.453125" customWidth="1"/>
  </cols>
  <sheetData>
    <row r="2" spans="2:7" x14ac:dyDescent="0.35">
      <c r="B2" s="59" t="s">
        <v>247</v>
      </c>
    </row>
    <row r="5" spans="2:7" x14ac:dyDescent="0.35">
      <c r="B5" s="59" t="s">
        <v>32</v>
      </c>
    </row>
    <row r="7" spans="2:7" x14ac:dyDescent="0.35">
      <c r="B7" t="s">
        <v>16</v>
      </c>
      <c r="E7" s="60">
        <f>'P&amp;G'!F47</f>
        <v>0</v>
      </c>
    </row>
    <row r="8" spans="2:7" x14ac:dyDescent="0.35">
      <c r="B8" t="s">
        <v>22</v>
      </c>
      <c r="E8" s="60" t="e">
        <f>+Carpentry!Q376</f>
        <v>#VALUE!</v>
      </c>
    </row>
    <row r="9" spans="2:7" x14ac:dyDescent="0.35">
      <c r="B9" t="s">
        <v>132</v>
      </c>
      <c r="E9" s="60" t="e">
        <f>+Conc!Q175</f>
        <v>#VALUE!</v>
      </c>
    </row>
    <row r="10" spans="2:7" x14ac:dyDescent="0.35">
      <c r="B10" t="s">
        <v>152</v>
      </c>
      <c r="E10" s="60" t="e">
        <f>+Reo!Q263</f>
        <v>#VALUE!</v>
      </c>
      <c r="G10" s="61"/>
    </row>
    <row r="11" spans="2:7" x14ac:dyDescent="0.35">
      <c r="E11" s="145"/>
    </row>
    <row r="13" spans="2:7" x14ac:dyDescent="0.35">
      <c r="B13" s="100"/>
      <c r="C13" s="100"/>
      <c r="D13" s="100"/>
      <c r="E13" s="146"/>
    </row>
    <row r="14" spans="2:7" s="102" customFormat="1" ht="29.25" customHeight="1" x14ac:dyDescent="0.35">
      <c r="B14" s="101" t="s">
        <v>182</v>
      </c>
      <c r="E14" s="147" t="e">
        <f>SUM(E5:E13)</f>
        <v>#VALUE!</v>
      </c>
    </row>
    <row r="15" spans="2:7" x14ac:dyDescent="0.35">
      <c r="D15" s="65"/>
    </row>
    <row r="16" spans="2:7" x14ac:dyDescent="0.35">
      <c r="D16" s="65"/>
    </row>
    <row r="17" spans="2:7" x14ac:dyDescent="0.35">
      <c r="C17" t="s">
        <v>15</v>
      </c>
      <c r="D17" s="66">
        <v>0</v>
      </c>
      <c r="E17" s="60" t="e">
        <f>ROUNDUP((E14)*D17,0)</f>
        <v>#VALUE!</v>
      </c>
      <c r="G17" s="61"/>
    </row>
    <row r="18" spans="2:7" x14ac:dyDescent="0.35">
      <c r="D18" s="65"/>
    </row>
    <row r="19" spans="2:7" s="59" customFormat="1" x14ac:dyDescent="0.35">
      <c r="B19" s="59" t="s">
        <v>23</v>
      </c>
      <c r="E19" s="148" t="e">
        <f>SUM(E14:E18)</f>
        <v>#VALUE!</v>
      </c>
    </row>
    <row r="20" spans="2:7" x14ac:dyDescent="0.35">
      <c r="E20" s="148" t="e">
        <f>+ROUNDUP(E19,0)</f>
        <v>#VALUE!</v>
      </c>
    </row>
    <row r="22" spans="2:7" x14ac:dyDescent="0.35">
      <c r="B22" s="62"/>
      <c r="C22" s="60"/>
      <c r="E22" s="149"/>
    </row>
    <row r="23" spans="2:7" x14ac:dyDescent="0.35">
      <c r="B23" s="62"/>
      <c r="C23" s="60"/>
      <c r="E23" s="149"/>
    </row>
    <row r="24" spans="2:7" x14ac:dyDescent="0.35">
      <c r="B24" s="62"/>
      <c r="C24" s="60"/>
      <c r="E24" s="149"/>
    </row>
    <row r="25" spans="2:7" x14ac:dyDescent="0.35">
      <c r="B25" s="62"/>
      <c r="C25" s="60"/>
      <c r="E25" s="149"/>
    </row>
    <row r="26" spans="2:7" x14ac:dyDescent="0.35">
      <c r="B26" s="62"/>
      <c r="C26" s="60"/>
      <c r="E26" s="149"/>
    </row>
    <row r="27" spans="2:7" x14ac:dyDescent="0.35">
      <c r="B27" s="62"/>
      <c r="C27" s="60"/>
      <c r="E27" s="149"/>
    </row>
    <row r="28" spans="2:7" x14ac:dyDescent="0.35">
      <c r="B28" s="59" t="s">
        <v>33</v>
      </c>
    </row>
    <row r="29" spans="2:7" x14ac:dyDescent="0.35">
      <c r="B29" s="62">
        <v>1</v>
      </c>
      <c r="C29" s="63"/>
      <c r="D29" t="s">
        <v>24</v>
      </c>
    </row>
    <row r="30" spans="2:7" x14ac:dyDescent="0.35">
      <c r="B30" s="62">
        <f t="shared" ref="B30:B31" si="0">+B29+1</f>
        <v>2</v>
      </c>
      <c r="C30" s="63"/>
      <c r="D30" t="s">
        <v>25</v>
      </c>
    </row>
    <row r="31" spans="2:7" x14ac:dyDescent="0.35">
      <c r="B31" s="62">
        <f t="shared" si="0"/>
        <v>3</v>
      </c>
      <c r="C31" s="63"/>
      <c r="D31" t="s">
        <v>26</v>
      </c>
    </row>
    <row r="32" spans="2:7" x14ac:dyDescent="0.35">
      <c r="B32" s="62"/>
      <c r="C32" s="63"/>
      <c r="E32" s="149"/>
    </row>
    <row r="33" spans="2:3" x14ac:dyDescent="0.35">
      <c r="B33" s="62"/>
      <c r="C33" s="64"/>
    </row>
    <row r="34" spans="2:3" x14ac:dyDescent="0.35">
      <c r="B34" s="62"/>
    </row>
    <row r="36" spans="2:3" x14ac:dyDescent="0.35">
      <c r="B36" s="59" t="s">
        <v>27</v>
      </c>
    </row>
    <row r="37" spans="2:3" x14ac:dyDescent="0.35">
      <c r="B37" s="62">
        <v>1</v>
      </c>
      <c r="C37" t="s">
        <v>108</v>
      </c>
    </row>
    <row r="38" spans="2:3" x14ac:dyDescent="0.35">
      <c r="B38" s="62">
        <f>+B37+1</f>
        <v>2</v>
      </c>
      <c r="C38" t="s">
        <v>28</v>
      </c>
    </row>
    <row r="39" spans="2:3" x14ac:dyDescent="0.35">
      <c r="B39" s="62">
        <f t="shared" ref="B39:B47" si="1">+B38+1</f>
        <v>3</v>
      </c>
      <c r="C39" t="s">
        <v>109</v>
      </c>
    </row>
    <row r="40" spans="2:3" x14ac:dyDescent="0.35">
      <c r="B40" s="62">
        <f t="shared" si="1"/>
        <v>4</v>
      </c>
      <c r="C40" t="s">
        <v>29</v>
      </c>
    </row>
    <row r="41" spans="2:3" x14ac:dyDescent="0.35">
      <c r="B41" s="62">
        <f t="shared" si="1"/>
        <v>5</v>
      </c>
      <c r="C41" t="s">
        <v>30</v>
      </c>
    </row>
    <row r="42" spans="2:3" x14ac:dyDescent="0.35">
      <c r="B42" s="62">
        <f t="shared" si="1"/>
        <v>6</v>
      </c>
      <c r="C42" t="s">
        <v>31</v>
      </c>
    </row>
    <row r="43" spans="2:3" x14ac:dyDescent="0.35">
      <c r="B43" s="62">
        <f t="shared" si="1"/>
        <v>7</v>
      </c>
    </row>
    <row r="44" spans="2:3" x14ac:dyDescent="0.35">
      <c r="B44" s="62">
        <f t="shared" si="1"/>
        <v>8</v>
      </c>
    </row>
    <row r="45" spans="2:3" x14ac:dyDescent="0.35">
      <c r="B45" s="62">
        <f t="shared" si="1"/>
        <v>9</v>
      </c>
    </row>
    <row r="46" spans="2:3" x14ac:dyDescent="0.35">
      <c r="B46" s="62">
        <f t="shared" si="1"/>
        <v>10</v>
      </c>
    </row>
    <row r="47" spans="2:3" x14ac:dyDescent="0.35">
      <c r="B47" s="62">
        <f t="shared" si="1"/>
        <v>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832"/>
  <sheetViews>
    <sheetView workbookViewId="0"/>
  </sheetViews>
  <sheetFormatPr defaultRowHeight="14.5" outlineLevelRow="1" outlineLevelCol="1" x14ac:dyDescent="0.35"/>
  <cols>
    <col min="2" max="2" width="34.6328125" customWidth="1"/>
    <col min="3" max="5" width="8.90625" hidden="1" customWidth="1" outlineLevel="1"/>
    <col min="6" max="6" width="8.90625" collapsed="1"/>
    <col min="10" max="10" width="10.54296875" bestFit="1" customWidth="1"/>
    <col min="11" max="11" width="9.54296875" bestFit="1" customWidth="1"/>
    <col min="15" max="16" width="10.08984375" customWidth="1"/>
    <col min="17" max="17" width="13.54296875" customWidth="1"/>
    <col min="20" max="20" width="11.453125" customWidth="1"/>
  </cols>
  <sheetData>
    <row r="2" spans="1:24" x14ac:dyDescent="0.35">
      <c r="A2" s="1"/>
      <c r="B2" s="59" t="str">
        <f>+Summary!B2</f>
        <v>New1 Warehouse and Office</v>
      </c>
      <c r="F2" s="1"/>
      <c r="G2" s="1"/>
      <c r="H2" s="1"/>
      <c r="I2" s="1"/>
      <c r="J2" s="4"/>
      <c r="K2" s="4"/>
      <c r="L2" s="11"/>
      <c r="M2" s="11"/>
      <c r="N2" s="11"/>
      <c r="O2" s="11"/>
      <c r="P2" s="3" t="s">
        <v>18</v>
      </c>
      <c r="Q2" s="1" t="s">
        <v>245</v>
      </c>
    </row>
    <row r="3" spans="1:24" x14ac:dyDescent="0.35">
      <c r="A3" s="1"/>
      <c r="B3" s="59" t="s">
        <v>22</v>
      </c>
      <c r="F3" s="1"/>
      <c r="G3" s="1"/>
      <c r="H3" s="1"/>
      <c r="I3" s="1"/>
      <c r="J3" s="4"/>
      <c r="K3" s="4"/>
      <c r="L3" s="11"/>
      <c r="M3" s="11"/>
      <c r="N3" s="11"/>
      <c r="O3" s="11"/>
      <c r="P3" s="11"/>
      <c r="Q3" s="11"/>
      <c r="X3" s="1"/>
    </row>
    <row r="4" spans="1:24" x14ac:dyDescent="0.35">
      <c r="A4" s="1"/>
      <c r="F4" s="1"/>
      <c r="G4" s="1"/>
      <c r="H4" s="1"/>
      <c r="I4" s="1"/>
      <c r="J4" s="4"/>
      <c r="K4" s="4"/>
      <c r="L4" s="11"/>
      <c r="M4" s="11"/>
      <c r="N4" s="11"/>
      <c r="O4" s="11"/>
      <c r="P4" s="11"/>
      <c r="Q4" s="11"/>
    </row>
    <row r="5" spans="1:24" ht="15" thickBot="1" x14ac:dyDescent="0.4">
      <c r="A5" s="1"/>
      <c r="F5" s="1"/>
      <c r="G5" s="1"/>
      <c r="H5" s="1"/>
      <c r="I5" s="1"/>
      <c r="J5" s="4"/>
      <c r="K5" s="4"/>
      <c r="L5" s="11"/>
      <c r="M5" s="11"/>
      <c r="N5" s="11"/>
      <c r="O5" s="11"/>
      <c r="P5" s="11"/>
      <c r="Q5" s="11"/>
    </row>
    <row r="6" spans="1:24" s="5" customFormat="1" ht="29.5" thickBot="1" x14ac:dyDescent="0.4">
      <c r="A6" s="31" t="s">
        <v>0</v>
      </c>
      <c r="B6" s="32" t="s">
        <v>1</v>
      </c>
      <c r="C6" s="32"/>
      <c r="D6" s="32"/>
      <c r="E6" s="32"/>
      <c r="F6" s="33" t="s">
        <v>2</v>
      </c>
      <c r="G6" s="33" t="s">
        <v>3</v>
      </c>
      <c r="H6" s="33" t="s">
        <v>4</v>
      </c>
      <c r="I6" s="33" t="s">
        <v>9</v>
      </c>
      <c r="J6" s="34" t="s">
        <v>5</v>
      </c>
      <c r="K6" s="34" t="s">
        <v>6</v>
      </c>
      <c r="L6" s="35" t="s">
        <v>7</v>
      </c>
      <c r="M6" s="37" t="s">
        <v>12</v>
      </c>
      <c r="N6" s="37" t="s">
        <v>13</v>
      </c>
      <c r="O6" s="37" t="s">
        <v>11</v>
      </c>
      <c r="P6" s="37" t="s">
        <v>17</v>
      </c>
      <c r="Q6" s="36" t="s">
        <v>8</v>
      </c>
      <c r="S6" s="48" t="s">
        <v>20</v>
      </c>
      <c r="T6" s="48" t="s">
        <v>19</v>
      </c>
      <c r="U6" s="48"/>
      <c r="V6" s="48" t="s">
        <v>21</v>
      </c>
    </row>
    <row r="7" spans="1:24" x14ac:dyDescent="0.35">
      <c r="A7" s="29"/>
      <c r="B7" s="55"/>
      <c r="C7" s="55"/>
      <c r="D7" s="55"/>
      <c r="E7" s="55"/>
      <c r="F7" s="29"/>
      <c r="G7" s="29"/>
      <c r="H7" s="29"/>
      <c r="I7" s="29"/>
      <c r="J7" s="42"/>
      <c r="K7" s="42"/>
      <c r="L7" s="30"/>
      <c r="M7" s="38"/>
      <c r="N7" s="39"/>
      <c r="O7" s="30"/>
      <c r="P7" s="30"/>
      <c r="Q7" s="44"/>
      <c r="S7" s="3"/>
      <c r="T7" s="3"/>
      <c r="U7" s="3"/>
      <c r="V7" s="3"/>
    </row>
    <row r="8" spans="1:24" x14ac:dyDescent="0.35">
      <c r="A8" s="29"/>
      <c r="B8" s="68" t="s">
        <v>62</v>
      </c>
      <c r="C8" s="55"/>
      <c r="D8" s="55"/>
      <c r="E8" s="55"/>
      <c r="F8" s="29"/>
      <c r="G8" s="29"/>
      <c r="H8" s="29"/>
      <c r="I8" s="29"/>
      <c r="J8" s="42"/>
      <c r="K8" s="42"/>
      <c r="L8" s="30"/>
      <c r="M8" s="38"/>
      <c r="N8" s="39"/>
      <c r="O8" s="30"/>
      <c r="P8" s="30"/>
      <c r="Q8" s="44"/>
      <c r="S8" s="3"/>
      <c r="T8" s="3"/>
      <c r="U8" s="3"/>
      <c r="V8" s="3"/>
    </row>
    <row r="9" spans="1:24" x14ac:dyDescent="0.35">
      <c r="A9" s="6">
        <v>1</v>
      </c>
      <c r="B9" s="57" t="s">
        <v>63</v>
      </c>
      <c r="C9" s="57"/>
      <c r="D9" s="57"/>
      <c r="E9" s="57"/>
      <c r="F9" s="58">
        <v>25</v>
      </c>
      <c r="G9" s="6" t="s">
        <v>38</v>
      </c>
      <c r="H9" s="6"/>
      <c r="I9" s="6" t="str">
        <f>+Q2</f>
        <v>??</v>
      </c>
      <c r="J9" s="14" t="e">
        <f>+F9*H9*I9</f>
        <v>#VALUE!</v>
      </c>
      <c r="K9" s="14"/>
      <c r="L9" s="21"/>
      <c r="M9" s="46">
        <v>0.1</v>
      </c>
      <c r="N9" s="40">
        <f>+L9*M9</f>
        <v>0</v>
      </c>
      <c r="O9" s="21"/>
      <c r="P9" s="21"/>
      <c r="Q9" s="45">
        <f>+(F9*L9)+(F9*N9)+O9+P9</f>
        <v>0</v>
      </c>
      <c r="S9" s="53" t="e">
        <f>+T9/F9</f>
        <v>#VALUE!</v>
      </c>
      <c r="T9" s="49" t="e">
        <f>+J9+K9+Q9</f>
        <v>#VALUE!</v>
      </c>
      <c r="U9" s="49"/>
      <c r="V9" s="53">
        <f>+F9*H9</f>
        <v>0</v>
      </c>
    </row>
    <row r="10" spans="1:24" s="2" customFormat="1" hidden="1" outlineLevel="1" x14ac:dyDescent="0.35">
      <c r="A10" s="8"/>
      <c r="B10" s="9" t="s">
        <v>64</v>
      </c>
      <c r="C10" s="9">
        <v>6.5</v>
      </c>
      <c r="D10" s="9">
        <v>1</v>
      </c>
      <c r="E10" s="9">
        <v>1</v>
      </c>
      <c r="F10" s="10">
        <f t="shared" ref="F10:F15" si="0">+C10*D10*E10</f>
        <v>6.5</v>
      </c>
      <c r="G10" s="10"/>
      <c r="H10" s="10"/>
      <c r="I10" s="10"/>
      <c r="J10" s="14"/>
      <c r="K10" s="14"/>
      <c r="L10" s="22"/>
      <c r="M10" s="47"/>
      <c r="N10" s="41"/>
      <c r="O10" s="22"/>
      <c r="P10" s="22"/>
      <c r="Q10" s="45"/>
      <c r="S10" s="50"/>
      <c r="T10" s="50"/>
      <c r="U10" s="50"/>
      <c r="V10" s="50"/>
    </row>
    <row r="11" spans="1:24" s="2" customFormat="1" hidden="1" outlineLevel="1" x14ac:dyDescent="0.35">
      <c r="A11" s="8"/>
      <c r="B11" s="9"/>
      <c r="C11" s="9"/>
      <c r="D11" s="9">
        <v>1</v>
      </c>
      <c r="E11" s="9">
        <v>1</v>
      </c>
      <c r="F11" s="10">
        <f t="shared" si="0"/>
        <v>0</v>
      </c>
      <c r="G11" s="10"/>
      <c r="H11" s="10"/>
      <c r="I11" s="10"/>
      <c r="J11" s="14"/>
      <c r="K11" s="14"/>
      <c r="L11" s="22"/>
      <c r="M11" s="47"/>
      <c r="N11" s="41"/>
      <c r="O11" s="22"/>
      <c r="P11" s="22"/>
      <c r="Q11" s="45"/>
      <c r="S11" s="50"/>
      <c r="T11" s="50"/>
      <c r="U11" s="50"/>
      <c r="V11" s="50"/>
    </row>
    <row r="12" spans="1:24" s="2" customFormat="1" hidden="1" outlineLevel="1" x14ac:dyDescent="0.35">
      <c r="A12" s="8"/>
      <c r="B12" s="67" t="s">
        <v>65</v>
      </c>
      <c r="C12" s="9">
        <v>6.5</v>
      </c>
      <c r="D12" s="9">
        <v>1</v>
      </c>
      <c r="E12" s="9">
        <v>1</v>
      </c>
      <c r="F12" s="10">
        <f t="shared" si="0"/>
        <v>6.5</v>
      </c>
      <c r="G12" s="10"/>
      <c r="H12" s="10"/>
      <c r="I12" s="10"/>
      <c r="J12" s="14"/>
      <c r="K12" s="14"/>
      <c r="L12" s="22"/>
      <c r="M12" s="47"/>
      <c r="N12" s="41"/>
      <c r="O12" s="22"/>
      <c r="P12" s="22"/>
      <c r="Q12" s="45"/>
      <c r="S12" s="50"/>
      <c r="T12" s="50"/>
      <c r="U12" s="50"/>
      <c r="V12" s="50"/>
    </row>
    <row r="13" spans="1:24" s="2" customFormat="1" hidden="1" outlineLevel="1" x14ac:dyDescent="0.35">
      <c r="A13" s="8"/>
      <c r="B13" s="9"/>
      <c r="C13" s="9"/>
      <c r="D13" s="9">
        <v>1</v>
      </c>
      <c r="E13" s="9">
        <v>1</v>
      </c>
      <c r="F13" s="10">
        <f t="shared" si="0"/>
        <v>0</v>
      </c>
      <c r="G13" s="10"/>
      <c r="H13" s="10"/>
      <c r="I13" s="10"/>
      <c r="J13" s="14"/>
      <c r="K13" s="14"/>
      <c r="L13" s="22"/>
      <c r="M13" s="47"/>
      <c r="N13" s="41"/>
      <c r="O13" s="22"/>
      <c r="P13" s="22"/>
      <c r="Q13" s="45"/>
      <c r="S13" s="50"/>
      <c r="T13" s="50"/>
      <c r="U13" s="50"/>
      <c r="V13" s="50"/>
    </row>
    <row r="14" spans="1:24" s="2" customFormat="1" hidden="1" outlineLevel="1" x14ac:dyDescent="0.35">
      <c r="A14" s="8"/>
      <c r="B14" s="67" t="s">
        <v>66</v>
      </c>
      <c r="C14" s="9">
        <v>6.5</v>
      </c>
      <c r="D14" s="9">
        <v>1</v>
      </c>
      <c r="E14" s="9">
        <v>1</v>
      </c>
      <c r="F14" s="10">
        <f t="shared" si="0"/>
        <v>6.5</v>
      </c>
      <c r="G14" s="10"/>
      <c r="H14" s="10"/>
      <c r="I14" s="10"/>
      <c r="J14" s="14"/>
      <c r="K14" s="14"/>
      <c r="L14" s="22"/>
      <c r="M14" s="47"/>
      <c r="N14" s="41"/>
      <c r="O14" s="22"/>
      <c r="P14" s="22"/>
      <c r="Q14" s="45"/>
      <c r="S14" s="50"/>
      <c r="T14" s="50"/>
      <c r="U14" s="50"/>
      <c r="V14" s="50"/>
    </row>
    <row r="15" spans="1:24" s="2" customFormat="1" hidden="1" outlineLevel="1" x14ac:dyDescent="0.35">
      <c r="A15" s="8"/>
      <c r="B15" s="9"/>
      <c r="C15" s="9"/>
      <c r="D15" s="9">
        <v>1</v>
      </c>
      <c r="E15" s="9">
        <v>1</v>
      </c>
      <c r="F15" s="10">
        <f t="shared" si="0"/>
        <v>0</v>
      </c>
      <c r="G15" s="10"/>
      <c r="H15" s="10"/>
      <c r="I15" s="10"/>
      <c r="J15" s="14"/>
      <c r="K15" s="14"/>
      <c r="L15" s="22"/>
      <c r="M15" s="47"/>
      <c r="N15" s="41"/>
      <c r="O15" s="22"/>
      <c r="P15" s="22"/>
      <c r="Q15" s="45"/>
      <c r="S15" s="50"/>
      <c r="T15" s="50"/>
      <c r="U15" s="50"/>
      <c r="V15" s="50"/>
    </row>
    <row r="16" spans="1:24" s="2" customFormat="1" hidden="1" outlineLevel="1" x14ac:dyDescent="0.35">
      <c r="A16" s="8"/>
      <c r="B16" s="9"/>
      <c r="C16" s="9"/>
      <c r="D16" s="9"/>
      <c r="E16" s="9"/>
      <c r="F16" s="10"/>
      <c r="G16" s="10"/>
      <c r="H16" s="10"/>
      <c r="I16" s="10"/>
      <c r="J16" s="14"/>
      <c r="K16" s="14"/>
      <c r="L16" s="22"/>
      <c r="M16" s="47"/>
      <c r="N16" s="41"/>
      <c r="O16" s="22"/>
      <c r="P16" s="22"/>
      <c r="Q16" s="45"/>
      <c r="S16" s="50"/>
      <c r="T16" s="50"/>
      <c r="U16" s="50"/>
      <c r="V16" s="50"/>
    </row>
    <row r="17" spans="1:22" s="2" customFormat="1" hidden="1" outlineLevel="1" x14ac:dyDescent="0.35">
      <c r="A17" s="8"/>
      <c r="B17" s="9"/>
      <c r="C17" s="9"/>
      <c r="D17" s="9"/>
      <c r="E17" s="9"/>
      <c r="F17" s="10">
        <f>SUM(F10:F16)</f>
        <v>19.5</v>
      </c>
      <c r="G17" s="10"/>
      <c r="H17" s="10"/>
      <c r="I17" s="10"/>
      <c r="J17" s="14"/>
      <c r="K17" s="14"/>
      <c r="L17" s="22"/>
      <c r="M17" s="47"/>
      <c r="N17" s="41"/>
      <c r="O17" s="22"/>
      <c r="P17" s="22"/>
      <c r="Q17" s="45"/>
      <c r="S17" s="50"/>
      <c r="T17" s="50"/>
      <c r="U17" s="50"/>
      <c r="V17" s="50"/>
    </row>
    <row r="18" spans="1:22" collapsed="1" x14ac:dyDescent="0.35">
      <c r="A18" s="6"/>
      <c r="B18" s="56"/>
      <c r="C18" s="56"/>
      <c r="D18" s="56"/>
      <c r="E18" s="56"/>
      <c r="F18" s="6"/>
      <c r="G18" s="6"/>
      <c r="H18" s="6"/>
      <c r="I18" s="6"/>
      <c r="J18" s="14"/>
      <c r="K18" s="14"/>
      <c r="L18" s="21"/>
      <c r="M18" s="46"/>
      <c r="N18" s="40"/>
      <c r="O18" s="21"/>
      <c r="P18" s="21"/>
      <c r="Q18" s="45"/>
      <c r="S18" s="3"/>
      <c r="T18" s="3"/>
      <c r="U18" s="3"/>
      <c r="V18" s="3"/>
    </row>
    <row r="19" spans="1:22" x14ac:dyDescent="0.35">
      <c r="A19" s="6">
        <f>+A9+1</f>
        <v>2</v>
      </c>
      <c r="B19" s="57" t="s">
        <v>49</v>
      </c>
      <c r="C19" s="57"/>
      <c r="D19" s="57"/>
      <c r="E19" s="57"/>
      <c r="F19" s="58">
        <v>299</v>
      </c>
      <c r="G19" s="6" t="s">
        <v>38</v>
      </c>
      <c r="H19" s="6"/>
      <c r="I19" s="6" t="str">
        <f>+$Q$2</f>
        <v>??</v>
      </c>
      <c r="J19" s="14" t="e">
        <f>+F19*H19*I19</f>
        <v>#VALUE!</v>
      </c>
      <c r="K19" s="14"/>
      <c r="L19" s="21"/>
      <c r="M19" s="46">
        <v>0.1</v>
      </c>
      <c r="N19" s="40">
        <f>+L19*M19</f>
        <v>0</v>
      </c>
      <c r="O19" s="21"/>
      <c r="P19" s="21"/>
      <c r="Q19" s="45">
        <f>+(F19*L19)+(F19*N19)+O19+P19</f>
        <v>0</v>
      </c>
      <c r="S19" s="53" t="e">
        <f>+T19/F19</f>
        <v>#VALUE!</v>
      </c>
      <c r="T19" s="49" t="e">
        <f>+J19+K19+Q19</f>
        <v>#VALUE!</v>
      </c>
      <c r="U19" s="49"/>
      <c r="V19" s="53">
        <f>+F19*H19</f>
        <v>0</v>
      </c>
    </row>
    <row r="20" spans="1:22" s="2" customFormat="1" hidden="1" outlineLevel="1" x14ac:dyDescent="0.35">
      <c r="A20" s="8"/>
      <c r="B20" s="9" t="s">
        <v>34</v>
      </c>
      <c r="C20" s="9">
        <v>12.5</v>
      </c>
      <c r="D20" s="9">
        <v>1</v>
      </c>
      <c r="E20" s="9">
        <v>1</v>
      </c>
      <c r="F20" s="10">
        <f t="shared" ref="F20:F36" si="1">+C20*D20*E20</f>
        <v>12.5</v>
      </c>
      <c r="G20" s="10"/>
      <c r="H20" s="10"/>
      <c r="I20" s="10"/>
      <c r="J20" s="14"/>
      <c r="K20" s="14"/>
      <c r="L20" s="22"/>
      <c r="M20" s="47"/>
      <c r="N20" s="41"/>
      <c r="O20" s="22"/>
      <c r="P20" s="22"/>
      <c r="Q20" s="45"/>
      <c r="S20" s="50"/>
      <c r="T20" s="50"/>
      <c r="U20" s="50"/>
      <c r="V20" s="50"/>
    </row>
    <row r="21" spans="1:22" s="2" customFormat="1" hidden="1" outlineLevel="1" x14ac:dyDescent="0.35">
      <c r="A21" s="8"/>
      <c r="B21" s="9" t="s">
        <v>35</v>
      </c>
      <c r="C21" s="9">
        <v>6.8</v>
      </c>
      <c r="D21" s="9">
        <v>1</v>
      </c>
      <c r="E21" s="9">
        <v>1</v>
      </c>
      <c r="F21" s="10">
        <f t="shared" si="1"/>
        <v>6.8</v>
      </c>
      <c r="G21" s="10"/>
      <c r="H21" s="10"/>
      <c r="I21" s="10"/>
      <c r="J21" s="14"/>
      <c r="K21" s="14"/>
      <c r="L21" s="22"/>
      <c r="M21" s="47"/>
      <c r="N21" s="41"/>
      <c r="O21" s="22"/>
      <c r="P21" s="22"/>
      <c r="Q21" s="45"/>
      <c r="S21" s="50"/>
      <c r="T21" s="50"/>
      <c r="U21" s="50"/>
      <c r="V21" s="50"/>
    </row>
    <row r="22" spans="1:22" s="2" customFormat="1" hidden="1" outlineLevel="1" x14ac:dyDescent="0.35">
      <c r="A22" s="8"/>
      <c r="B22" s="9" t="s">
        <v>36</v>
      </c>
      <c r="C22" s="9">
        <v>2</v>
      </c>
      <c r="D22" s="9">
        <v>1</v>
      </c>
      <c r="E22" s="9">
        <v>2</v>
      </c>
      <c r="F22" s="10">
        <f t="shared" si="1"/>
        <v>4</v>
      </c>
      <c r="G22" s="10"/>
      <c r="H22" s="10"/>
      <c r="I22" s="10"/>
      <c r="J22" s="14"/>
      <c r="K22" s="14"/>
      <c r="L22" s="22"/>
      <c r="M22" s="47"/>
      <c r="N22" s="41"/>
      <c r="O22" s="22"/>
      <c r="P22" s="22"/>
      <c r="Q22" s="45"/>
      <c r="S22" s="50"/>
      <c r="T22" s="50"/>
      <c r="U22" s="50"/>
      <c r="V22" s="50"/>
    </row>
    <row r="23" spans="1:22" s="2" customFormat="1" hidden="1" outlineLevel="1" x14ac:dyDescent="0.35">
      <c r="A23" s="8"/>
      <c r="B23" s="9" t="s">
        <v>37</v>
      </c>
      <c r="C23" s="9">
        <v>1</v>
      </c>
      <c r="D23" s="9">
        <v>1</v>
      </c>
      <c r="E23" s="9">
        <v>1</v>
      </c>
      <c r="F23" s="10">
        <f t="shared" si="1"/>
        <v>1</v>
      </c>
      <c r="G23" s="10"/>
      <c r="H23" s="10"/>
      <c r="I23" s="10"/>
      <c r="J23" s="14"/>
      <c r="K23" s="14"/>
      <c r="L23" s="22"/>
      <c r="M23" s="47"/>
      <c r="N23" s="41"/>
      <c r="O23" s="22"/>
      <c r="P23" s="22"/>
      <c r="Q23" s="45"/>
      <c r="S23" s="50"/>
      <c r="T23" s="50"/>
      <c r="U23" s="50"/>
      <c r="V23" s="50"/>
    </row>
    <row r="24" spans="1:22" s="2" customFormat="1" hidden="1" outlineLevel="1" x14ac:dyDescent="0.35">
      <c r="A24" s="8"/>
      <c r="B24" s="9"/>
      <c r="C24" s="9"/>
      <c r="D24" s="9">
        <v>1</v>
      </c>
      <c r="E24" s="9">
        <v>1</v>
      </c>
      <c r="F24" s="10">
        <f t="shared" si="1"/>
        <v>0</v>
      </c>
      <c r="G24" s="10"/>
      <c r="H24" s="10"/>
      <c r="I24" s="10"/>
      <c r="J24" s="14"/>
      <c r="K24" s="14"/>
      <c r="L24" s="22"/>
      <c r="M24" s="47"/>
      <c r="N24" s="41"/>
      <c r="O24" s="22"/>
      <c r="P24" s="22"/>
      <c r="Q24" s="45"/>
      <c r="S24" s="50"/>
      <c r="T24" s="50"/>
      <c r="U24" s="50"/>
      <c r="V24" s="50"/>
    </row>
    <row r="25" spans="1:22" s="2" customFormat="1" hidden="1" outlineLevel="1" x14ac:dyDescent="0.35">
      <c r="A25" s="8"/>
      <c r="B25" s="67" t="s">
        <v>41</v>
      </c>
      <c r="C25" s="9">
        <v>12.5</v>
      </c>
      <c r="D25" s="9">
        <v>1</v>
      </c>
      <c r="E25" s="9">
        <v>1</v>
      </c>
      <c r="F25" s="10">
        <f t="shared" si="1"/>
        <v>12.5</v>
      </c>
      <c r="G25" s="10"/>
      <c r="H25" s="10"/>
      <c r="I25" s="10"/>
      <c r="J25" s="14"/>
      <c r="K25" s="14"/>
      <c r="L25" s="22"/>
      <c r="M25" s="47"/>
      <c r="N25" s="41"/>
      <c r="O25" s="22"/>
      <c r="P25" s="22"/>
      <c r="Q25" s="45"/>
      <c r="S25" s="50"/>
      <c r="T25" s="50"/>
      <c r="U25" s="50"/>
      <c r="V25" s="50"/>
    </row>
    <row r="26" spans="1:22" s="2" customFormat="1" hidden="1" outlineLevel="1" x14ac:dyDescent="0.35">
      <c r="A26" s="8"/>
      <c r="B26" s="9" t="s">
        <v>35</v>
      </c>
      <c r="C26" s="9">
        <v>5.3</v>
      </c>
      <c r="D26" s="9">
        <v>1</v>
      </c>
      <c r="E26" s="9">
        <v>1</v>
      </c>
      <c r="F26" s="10">
        <f t="shared" si="1"/>
        <v>5.3</v>
      </c>
      <c r="G26" s="10"/>
      <c r="H26" s="10"/>
      <c r="I26" s="10"/>
      <c r="J26" s="14"/>
      <c r="K26" s="14"/>
      <c r="L26" s="22"/>
      <c r="M26" s="47"/>
      <c r="N26" s="41"/>
      <c r="O26" s="22"/>
      <c r="P26" s="22"/>
      <c r="Q26" s="45"/>
      <c r="S26" s="50"/>
      <c r="T26" s="50"/>
      <c r="U26" s="50"/>
      <c r="V26" s="50"/>
    </row>
    <row r="27" spans="1:22" s="2" customFormat="1" hidden="1" outlineLevel="1" x14ac:dyDescent="0.35">
      <c r="A27" s="8"/>
      <c r="B27" s="9" t="s">
        <v>39</v>
      </c>
      <c r="C27" s="9">
        <v>2</v>
      </c>
      <c r="D27" s="9">
        <v>1</v>
      </c>
      <c r="E27" s="9">
        <v>5</v>
      </c>
      <c r="F27" s="10">
        <f t="shared" si="1"/>
        <v>10</v>
      </c>
      <c r="G27" s="10"/>
      <c r="H27" s="10"/>
      <c r="I27" s="10"/>
      <c r="J27" s="14"/>
      <c r="K27" s="14"/>
      <c r="L27" s="22"/>
      <c r="M27" s="47"/>
      <c r="N27" s="41"/>
      <c r="O27" s="22"/>
      <c r="P27" s="22"/>
      <c r="Q27" s="45"/>
      <c r="S27" s="50"/>
      <c r="T27" s="50"/>
      <c r="U27" s="50"/>
      <c r="V27" s="50"/>
    </row>
    <row r="28" spans="1:22" s="2" customFormat="1" hidden="1" outlineLevel="1" x14ac:dyDescent="0.35">
      <c r="A28" s="8"/>
      <c r="B28" s="9" t="s">
        <v>37</v>
      </c>
      <c r="C28" s="9">
        <v>1</v>
      </c>
      <c r="D28" s="9">
        <v>1</v>
      </c>
      <c r="E28" s="9">
        <v>1</v>
      </c>
      <c r="F28" s="10">
        <f t="shared" si="1"/>
        <v>1</v>
      </c>
      <c r="G28" s="10"/>
      <c r="H28" s="10"/>
      <c r="I28" s="10"/>
      <c r="J28" s="14"/>
      <c r="K28" s="14"/>
      <c r="L28" s="22"/>
      <c r="M28" s="47"/>
      <c r="N28" s="41"/>
      <c r="O28" s="22"/>
      <c r="P28" s="22"/>
      <c r="Q28" s="45"/>
      <c r="S28" s="50"/>
      <c r="T28" s="50"/>
      <c r="U28" s="50"/>
      <c r="V28" s="50"/>
    </row>
    <row r="29" spans="1:22" s="2" customFormat="1" hidden="1" outlineLevel="1" x14ac:dyDescent="0.35">
      <c r="A29" s="8"/>
      <c r="B29" s="9" t="s">
        <v>40</v>
      </c>
      <c r="C29" s="9">
        <v>2.7</v>
      </c>
      <c r="D29" s="9">
        <v>1</v>
      </c>
      <c r="E29" s="9">
        <v>3</v>
      </c>
      <c r="F29" s="10">
        <f t="shared" si="1"/>
        <v>8.1000000000000014</v>
      </c>
      <c r="G29" s="10"/>
      <c r="H29" s="10"/>
      <c r="I29" s="10"/>
      <c r="J29" s="14"/>
      <c r="K29" s="14"/>
      <c r="L29" s="22"/>
      <c r="M29" s="47"/>
      <c r="N29" s="41"/>
      <c r="O29" s="22"/>
      <c r="P29" s="22"/>
      <c r="Q29" s="45"/>
      <c r="S29" s="50"/>
      <c r="T29" s="50"/>
      <c r="U29" s="50"/>
      <c r="V29" s="50"/>
    </row>
    <row r="30" spans="1:22" s="2" customFormat="1" hidden="1" outlineLevel="1" x14ac:dyDescent="0.35">
      <c r="A30" s="8"/>
      <c r="B30" s="9"/>
      <c r="C30" s="9"/>
      <c r="D30" s="9">
        <v>1</v>
      </c>
      <c r="E30" s="9">
        <v>1</v>
      </c>
      <c r="F30" s="10">
        <f t="shared" si="1"/>
        <v>0</v>
      </c>
      <c r="G30" s="10"/>
      <c r="H30" s="10"/>
      <c r="I30" s="10"/>
      <c r="J30" s="14"/>
      <c r="K30" s="14"/>
      <c r="L30" s="22"/>
      <c r="M30" s="47"/>
      <c r="N30" s="41"/>
      <c r="O30" s="22"/>
      <c r="P30" s="22"/>
      <c r="Q30" s="45"/>
      <c r="S30" s="50"/>
      <c r="T30" s="50"/>
      <c r="U30" s="50"/>
      <c r="V30" s="50"/>
    </row>
    <row r="31" spans="1:22" s="2" customFormat="1" hidden="1" outlineLevel="1" x14ac:dyDescent="0.35">
      <c r="A31" s="8"/>
      <c r="B31" s="67" t="s">
        <v>42</v>
      </c>
      <c r="C31" s="9">
        <v>12.5</v>
      </c>
      <c r="D31" s="9">
        <v>1</v>
      </c>
      <c r="E31" s="9">
        <v>1</v>
      </c>
      <c r="F31" s="10">
        <f t="shared" si="1"/>
        <v>12.5</v>
      </c>
      <c r="G31" s="10"/>
      <c r="H31" s="10"/>
      <c r="I31" s="10"/>
      <c r="J31" s="14"/>
      <c r="K31" s="14"/>
      <c r="L31" s="22"/>
      <c r="M31" s="47"/>
      <c r="N31" s="41"/>
      <c r="O31" s="22"/>
      <c r="P31" s="22"/>
      <c r="Q31" s="45"/>
      <c r="S31" s="50"/>
      <c r="T31" s="50"/>
      <c r="U31" s="50"/>
      <c r="V31" s="50"/>
    </row>
    <row r="32" spans="1:22" s="2" customFormat="1" hidden="1" outlineLevel="1" x14ac:dyDescent="0.35">
      <c r="A32" s="8"/>
      <c r="B32" s="9" t="s">
        <v>35</v>
      </c>
      <c r="C32" s="9">
        <v>5.3</v>
      </c>
      <c r="D32" s="9">
        <v>1</v>
      </c>
      <c r="E32" s="9">
        <v>1</v>
      </c>
      <c r="F32" s="10">
        <f t="shared" si="1"/>
        <v>5.3</v>
      </c>
      <c r="G32" s="10"/>
      <c r="H32" s="10"/>
      <c r="I32" s="10"/>
      <c r="J32" s="14"/>
      <c r="K32" s="14"/>
      <c r="L32" s="22"/>
      <c r="M32" s="47"/>
      <c r="N32" s="41"/>
      <c r="O32" s="22"/>
      <c r="P32" s="22"/>
      <c r="Q32" s="45"/>
      <c r="S32" s="50"/>
      <c r="T32" s="50"/>
      <c r="U32" s="50"/>
      <c r="V32" s="50"/>
    </row>
    <row r="33" spans="1:22" s="2" customFormat="1" hidden="1" outlineLevel="1" x14ac:dyDescent="0.35">
      <c r="A33" s="8"/>
      <c r="B33" s="9" t="s">
        <v>39</v>
      </c>
      <c r="C33" s="9">
        <v>2</v>
      </c>
      <c r="D33" s="9">
        <v>1</v>
      </c>
      <c r="E33" s="9">
        <v>5</v>
      </c>
      <c r="F33" s="10">
        <f t="shared" si="1"/>
        <v>10</v>
      </c>
      <c r="G33" s="10"/>
      <c r="H33" s="10"/>
      <c r="I33" s="10"/>
      <c r="J33" s="14"/>
      <c r="K33" s="14"/>
      <c r="L33" s="22"/>
      <c r="M33" s="47"/>
      <c r="N33" s="41"/>
      <c r="O33" s="22"/>
      <c r="P33" s="22"/>
      <c r="Q33" s="45"/>
      <c r="S33" s="50"/>
      <c r="T33" s="50"/>
      <c r="U33" s="50"/>
      <c r="V33" s="50"/>
    </row>
    <row r="34" spans="1:22" s="2" customFormat="1" hidden="1" outlineLevel="1" x14ac:dyDescent="0.35">
      <c r="A34" s="8"/>
      <c r="B34" s="9" t="s">
        <v>37</v>
      </c>
      <c r="C34" s="9">
        <v>1</v>
      </c>
      <c r="D34" s="9">
        <v>1</v>
      </c>
      <c r="E34" s="9">
        <v>1</v>
      </c>
      <c r="F34" s="10">
        <f t="shared" si="1"/>
        <v>1</v>
      </c>
      <c r="G34" s="10"/>
      <c r="H34" s="10"/>
      <c r="I34" s="10"/>
      <c r="J34" s="14"/>
      <c r="K34" s="14"/>
      <c r="L34" s="22"/>
      <c r="M34" s="47"/>
      <c r="N34" s="41"/>
      <c r="O34" s="22"/>
      <c r="P34" s="22"/>
      <c r="Q34" s="45"/>
      <c r="S34" s="50"/>
      <c r="T34" s="50"/>
      <c r="U34" s="50"/>
      <c r="V34" s="50"/>
    </row>
    <row r="35" spans="1:22" s="2" customFormat="1" hidden="1" outlineLevel="1" x14ac:dyDescent="0.35">
      <c r="A35" s="8"/>
      <c r="B35" s="9" t="s">
        <v>40</v>
      </c>
      <c r="C35" s="9">
        <v>2.7</v>
      </c>
      <c r="D35" s="9">
        <v>1</v>
      </c>
      <c r="E35" s="9">
        <v>3</v>
      </c>
      <c r="F35" s="10">
        <f t="shared" si="1"/>
        <v>8.1000000000000014</v>
      </c>
      <c r="G35" s="10"/>
      <c r="H35" s="10"/>
      <c r="I35" s="10"/>
      <c r="J35" s="14"/>
      <c r="K35" s="14"/>
      <c r="L35" s="22"/>
      <c r="M35" s="47"/>
      <c r="N35" s="41"/>
      <c r="O35" s="22"/>
      <c r="P35" s="22"/>
      <c r="Q35" s="45"/>
      <c r="S35" s="50"/>
      <c r="T35" s="50"/>
      <c r="U35" s="50"/>
      <c r="V35" s="50"/>
    </row>
    <row r="36" spans="1:22" s="2" customFormat="1" hidden="1" outlineLevel="1" x14ac:dyDescent="0.35">
      <c r="A36" s="8"/>
      <c r="B36" s="9"/>
      <c r="C36" s="9"/>
      <c r="D36" s="9">
        <v>1</v>
      </c>
      <c r="E36" s="9">
        <v>1</v>
      </c>
      <c r="F36" s="10">
        <f t="shared" si="1"/>
        <v>0</v>
      </c>
      <c r="G36" s="10"/>
      <c r="H36" s="10"/>
      <c r="I36" s="10"/>
      <c r="J36" s="14"/>
      <c r="K36" s="14"/>
      <c r="L36" s="22"/>
      <c r="M36" s="47"/>
      <c r="N36" s="41"/>
      <c r="O36" s="22"/>
      <c r="P36" s="22"/>
      <c r="Q36" s="45"/>
      <c r="S36" s="50"/>
      <c r="T36" s="50"/>
      <c r="U36" s="50"/>
      <c r="V36" s="50"/>
    </row>
    <row r="37" spans="1:22" s="2" customFormat="1" hidden="1" outlineLevel="1" x14ac:dyDescent="0.35">
      <c r="A37" s="8"/>
      <c r="B37" s="9"/>
      <c r="C37" s="9"/>
      <c r="D37" s="9"/>
      <c r="E37" s="9"/>
      <c r="F37" s="10"/>
      <c r="G37" s="10"/>
      <c r="H37" s="10"/>
      <c r="I37" s="10"/>
      <c r="J37" s="14"/>
      <c r="K37" s="14"/>
      <c r="L37" s="22"/>
      <c r="M37" s="47"/>
      <c r="N37" s="41"/>
      <c r="O37" s="22"/>
      <c r="P37" s="22"/>
      <c r="Q37" s="45"/>
      <c r="S37" s="50"/>
      <c r="T37" s="50"/>
      <c r="U37" s="50"/>
      <c r="V37" s="50"/>
    </row>
    <row r="38" spans="1:22" s="2" customFormat="1" hidden="1" outlineLevel="1" x14ac:dyDescent="0.35">
      <c r="A38" s="8"/>
      <c r="B38" s="9"/>
      <c r="C38" s="9"/>
      <c r="D38" s="9"/>
      <c r="E38" s="9"/>
      <c r="F38" s="10">
        <f>SUM(F20:F37)</f>
        <v>98.1</v>
      </c>
      <c r="G38" s="10"/>
      <c r="H38" s="10"/>
      <c r="I38" s="10"/>
      <c r="J38" s="14"/>
      <c r="K38" s="14"/>
      <c r="L38" s="22"/>
      <c r="M38" s="47"/>
      <c r="N38" s="41"/>
      <c r="O38" s="22"/>
      <c r="P38" s="22"/>
      <c r="Q38" s="45"/>
      <c r="S38" s="50"/>
      <c r="T38" s="50"/>
      <c r="U38" s="50"/>
      <c r="V38" s="50"/>
    </row>
    <row r="39" spans="1:22" collapsed="1" x14ac:dyDescent="0.35">
      <c r="A39" s="6"/>
      <c r="B39" s="56"/>
      <c r="C39" s="56"/>
      <c r="D39" s="56"/>
      <c r="E39" s="56"/>
      <c r="F39" s="6"/>
      <c r="G39" s="6"/>
      <c r="H39" s="6"/>
      <c r="I39" s="6"/>
      <c r="J39" s="14"/>
      <c r="K39" s="14"/>
      <c r="L39" s="21"/>
      <c r="M39" s="46"/>
      <c r="N39" s="40"/>
      <c r="O39" s="21"/>
      <c r="P39" s="21"/>
      <c r="Q39" s="45"/>
      <c r="S39" s="3"/>
      <c r="T39" s="3"/>
      <c r="U39" s="3"/>
      <c r="V39" s="3"/>
    </row>
    <row r="40" spans="1:22" x14ac:dyDescent="0.35">
      <c r="A40" s="6">
        <f>+A19+1</f>
        <v>3</v>
      </c>
      <c r="B40" s="57" t="s">
        <v>50</v>
      </c>
      <c r="C40" s="57"/>
      <c r="D40" s="57"/>
      <c r="E40" s="57"/>
      <c r="F40" s="58">
        <f>+F19</f>
        <v>299</v>
      </c>
      <c r="G40" s="6" t="s">
        <v>38</v>
      </c>
      <c r="H40" s="6"/>
      <c r="I40" s="6" t="str">
        <f>+$Q$2</f>
        <v>??</v>
      </c>
      <c r="J40" s="14" t="e">
        <f>+F40*H40*I40</f>
        <v>#VALUE!</v>
      </c>
      <c r="K40" s="14"/>
      <c r="L40" s="21"/>
      <c r="M40" s="46">
        <v>0.1</v>
      </c>
      <c r="N40" s="40">
        <f>+L40*M40</f>
        <v>0</v>
      </c>
      <c r="O40" s="21">
        <f>+F40*0.2</f>
        <v>59.800000000000004</v>
      </c>
      <c r="P40" s="21"/>
      <c r="Q40" s="45">
        <f>+(F40*L40)+(F40*N40)+O40+P40</f>
        <v>59.800000000000004</v>
      </c>
      <c r="S40" s="53" t="e">
        <f>+T40/F40</f>
        <v>#VALUE!</v>
      </c>
      <c r="T40" s="49" t="e">
        <f>+J40+K40+Q40</f>
        <v>#VALUE!</v>
      </c>
      <c r="U40" s="49"/>
      <c r="V40" s="53">
        <f>+F40*H40</f>
        <v>0</v>
      </c>
    </row>
    <row r="41" spans="1:22" x14ac:dyDescent="0.35">
      <c r="A41" s="6"/>
      <c r="B41" s="56"/>
      <c r="C41" s="56"/>
      <c r="D41" s="56"/>
      <c r="E41" s="56"/>
      <c r="F41" s="6"/>
      <c r="G41" s="6"/>
      <c r="H41" s="6"/>
      <c r="I41" s="6"/>
      <c r="J41" s="14"/>
      <c r="K41" s="14"/>
      <c r="L41" s="21"/>
      <c r="M41" s="46"/>
      <c r="N41" s="40"/>
      <c r="O41" s="21"/>
      <c r="P41" s="21"/>
      <c r="Q41" s="45"/>
      <c r="S41" s="3"/>
      <c r="T41" s="3"/>
      <c r="U41" s="3"/>
      <c r="V41" s="3"/>
    </row>
    <row r="42" spans="1:22" x14ac:dyDescent="0.35">
      <c r="A42" s="6">
        <f>+A40+1</f>
        <v>4</v>
      </c>
      <c r="B42" s="57" t="s">
        <v>51</v>
      </c>
      <c r="C42" s="57"/>
      <c r="D42" s="57"/>
      <c r="E42" s="57"/>
      <c r="F42" s="58">
        <f>+F19*4</f>
        <v>1196</v>
      </c>
      <c r="G42" s="6" t="s">
        <v>38</v>
      </c>
      <c r="H42" s="6"/>
      <c r="I42" s="6" t="str">
        <f>+$Q$2</f>
        <v>??</v>
      </c>
      <c r="J42" s="14" t="e">
        <f>+F42*H42*I42</f>
        <v>#VALUE!</v>
      </c>
      <c r="K42" s="14"/>
      <c r="L42" s="21"/>
      <c r="M42" s="46">
        <v>0.1</v>
      </c>
      <c r="N42" s="40">
        <f>+L42*M42</f>
        <v>0</v>
      </c>
      <c r="O42" s="21"/>
      <c r="P42" s="21"/>
      <c r="Q42" s="45">
        <f>+(F42*L42)+(F42*N42)+O42+P42</f>
        <v>0</v>
      </c>
      <c r="S42" s="53" t="e">
        <f>+T42/F42</f>
        <v>#VALUE!</v>
      </c>
      <c r="T42" s="49" t="e">
        <f>+J42+K42+Q42</f>
        <v>#VALUE!</v>
      </c>
      <c r="U42" s="49"/>
      <c r="V42" s="53">
        <f>+F42*H42</f>
        <v>0</v>
      </c>
    </row>
    <row r="43" spans="1:22" x14ac:dyDescent="0.35">
      <c r="A43" s="6"/>
      <c r="B43" s="56"/>
      <c r="C43" s="56"/>
      <c r="D43" s="56"/>
      <c r="E43" s="56"/>
      <c r="F43" s="6"/>
      <c r="G43" s="6"/>
      <c r="H43" s="6"/>
      <c r="I43" s="6"/>
      <c r="J43" s="14"/>
      <c r="K43" s="14"/>
      <c r="L43" s="21"/>
      <c r="M43" s="46"/>
      <c r="N43" s="40"/>
      <c r="O43" s="21"/>
      <c r="P43" s="21"/>
      <c r="Q43" s="45"/>
      <c r="S43" s="3"/>
      <c r="T43" s="3"/>
      <c r="U43" s="3"/>
      <c r="V43" s="3"/>
    </row>
    <row r="44" spans="1:22" x14ac:dyDescent="0.35">
      <c r="A44" s="6">
        <f>+A42+1</f>
        <v>5</v>
      </c>
      <c r="B44" s="57" t="s">
        <v>48</v>
      </c>
      <c r="C44" s="57"/>
      <c r="D44" s="57"/>
      <c r="E44" s="57"/>
      <c r="F44" s="58">
        <f>+ROUNDUP(F63,0)*2</f>
        <v>1906</v>
      </c>
      <c r="G44" s="6" t="s">
        <v>38</v>
      </c>
      <c r="H44" s="6"/>
      <c r="I44" s="6" t="str">
        <f>+$Q$2</f>
        <v>??</v>
      </c>
      <c r="J44" s="14" t="e">
        <f>+F44*H44*I44</f>
        <v>#VALUE!</v>
      </c>
      <c r="K44" s="14"/>
      <c r="L44" s="21"/>
      <c r="M44" s="46">
        <v>0.1</v>
      </c>
      <c r="N44" s="40">
        <f>+L44*M44</f>
        <v>0</v>
      </c>
      <c r="O44" s="21"/>
      <c r="P44" s="21"/>
      <c r="Q44" s="45">
        <f>+(F44*L44)+(F44*N44)+O44+P44</f>
        <v>0</v>
      </c>
      <c r="S44" s="53" t="e">
        <f>+T44/F44</f>
        <v>#VALUE!</v>
      </c>
      <c r="T44" s="49" t="e">
        <f>+J44+K44+Q44</f>
        <v>#VALUE!</v>
      </c>
      <c r="U44" s="49"/>
      <c r="V44" s="53">
        <f>+F44*H44</f>
        <v>0</v>
      </c>
    </row>
    <row r="45" spans="1:22" s="2" customFormat="1" hidden="1" outlineLevel="1" x14ac:dyDescent="0.35">
      <c r="A45" s="8"/>
      <c r="B45" s="9" t="s">
        <v>34</v>
      </c>
      <c r="C45" s="9">
        <f>12.5/0.4+1</f>
        <v>32.25</v>
      </c>
      <c r="D45" s="9">
        <v>3.75</v>
      </c>
      <c r="E45" s="9">
        <v>1</v>
      </c>
      <c r="F45" s="10">
        <f>+C45*D45*E45</f>
        <v>120.9375</v>
      </c>
      <c r="G45" s="10"/>
      <c r="H45" s="10"/>
      <c r="I45" s="10"/>
      <c r="J45" s="14"/>
      <c r="K45" s="14"/>
      <c r="L45" s="22"/>
      <c r="M45" s="47"/>
      <c r="N45" s="41"/>
      <c r="O45" s="22"/>
      <c r="P45" s="22"/>
      <c r="Q45" s="45"/>
      <c r="S45" s="50"/>
      <c r="T45" s="50"/>
      <c r="U45" s="50"/>
      <c r="V45" s="50"/>
    </row>
    <row r="46" spans="1:22" s="2" customFormat="1" hidden="1" outlineLevel="1" x14ac:dyDescent="0.35">
      <c r="A46" s="8"/>
      <c r="B46" s="9" t="s">
        <v>35</v>
      </c>
      <c r="C46" s="9">
        <f>6.8/0.4+1</f>
        <v>18</v>
      </c>
      <c r="D46" s="9">
        <v>3.75</v>
      </c>
      <c r="E46" s="9">
        <v>1</v>
      </c>
      <c r="F46" s="10">
        <f>+C46*D46*E46</f>
        <v>67.5</v>
      </c>
      <c r="G46" s="10"/>
      <c r="H46" s="10"/>
      <c r="I46" s="10"/>
      <c r="J46" s="14"/>
      <c r="K46" s="14"/>
      <c r="L46" s="22"/>
      <c r="M46" s="47"/>
      <c r="N46" s="41"/>
      <c r="O46" s="22"/>
      <c r="P46" s="22"/>
      <c r="Q46" s="45"/>
      <c r="S46" s="50"/>
      <c r="T46" s="50"/>
      <c r="U46" s="50"/>
      <c r="V46" s="50"/>
    </row>
    <row r="47" spans="1:22" s="2" customFormat="1" hidden="1" outlineLevel="1" x14ac:dyDescent="0.35">
      <c r="A47" s="8"/>
      <c r="B47" s="9" t="s">
        <v>36</v>
      </c>
      <c r="C47" s="9">
        <f>2/0.4+1</f>
        <v>6</v>
      </c>
      <c r="D47" s="9">
        <v>3</v>
      </c>
      <c r="E47" s="9">
        <v>2</v>
      </c>
      <c r="F47" s="10">
        <f>+C47*D47*E47</f>
        <v>36</v>
      </c>
      <c r="G47" s="10"/>
      <c r="H47" s="10"/>
      <c r="I47" s="10"/>
      <c r="J47" s="14"/>
      <c r="K47" s="14"/>
      <c r="L47" s="22"/>
      <c r="M47" s="47"/>
      <c r="N47" s="41"/>
      <c r="O47" s="22"/>
      <c r="P47" s="22"/>
      <c r="Q47" s="45"/>
      <c r="S47" s="50"/>
      <c r="T47" s="50"/>
      <c r="U47" s="50"/>
      <c r="V47" s="50"/>
    </row>
    <row r="48" spans="1:22" s="2" customFormat="1" hidden="1" outlineLevel="1" x14ac:dyDescent="0.35">
      <c r="A48" s="8"/>
      <c r="B48" s="9" t="s">
        <v>37</v>
      </c>
      <c r="C48" s="9">
        <f>1/0.4+1</f>
        <v>3.5</v>
      </c>
      <c r="D48" s="9">
        <v>3</v>
      </c>
      <c r="E48" s="9">
        <v>1</v>
      </c>
      <c r="F48" s="10">
        <f>+C48*D48*E48</f>
        <v>10.5</v>
      </c>
      <c r="G48" s="10"/>
      <c r="H48" s="10"/>
      <c r="I48" s="10"/>
      <c r="J48" s="14"/>
      <c r="K48" s="14"/>
      <c r="L48" s="22"/>
      <c r="M48" s="47"/>
      <c r="N48" s="41"/>
      <c r="O48" s="22"/>
      <c r="P48" s="22"/>
      <c r="Q48" s="45"/>
      <c r="S48" s="50"/>
      <c r="T48" s="50"/>
      <c r="U48" s="50"/>
      <c r="V48" s="50"/>
    </row>
    <row r="49" spans="1:22" s="2" customFormat="1" hidden="1" outlineLevel="1" x14ac:dyDescent="0.35">
      <c r="A49" s="8"/>
      <c r="B49" s="9"/>
      <c r="C49" s="9"/>
      <c r="D49" s="9"/>
      <c r="E49" s="9"/>
      <c r="F49" s="10"/>
      <c r="G49" s="10"/>
      <c r="H49" s="10"/>
      <c r="I49" s="10"/>
      <c r="J49" s="14"/>
      <c r="K49" s="14"/>
      <c r="L49" s="22"/>
      <c r="M49" s="47"/>
      <c r="N49" s="41"/>
      <c r="O49" s="22"/>
      <c r="P49" s="22"/>
      <c r="Q49" s="45"/>
      <c r="S49" s="50"/>
      <c r="T49" s="50"/>
      <c r="U49" s="50"/>
      <c r="V49" s="50"/>
    </row>
    <row r="50" spans="1:22" s="2" customFormat="1" hidden="1" outlineLevel="1" x14ac:dyDescent="0.35">
      <c r="A50" s="8"/>
      <c r="B50" s="67" t="s">
        <v>41</v>
      </c>
      <c r="C50" s="9">
        <f>12.5/0.4+1</f>
        <v>32.25</v>
      </c>
      <c r="D50" s="9">
        <v>3.75</v>
      </c>
      <c r="E50" s="9">
        <v>1</v>
      </c>
      <c r="F50" s="10">
        <f>+C50*D50*E50</f>
        <v>120.9375</v>
      </c>
      <c r="G50" s="10"/>
      <c r="H50" s="10"/>
      <c r="I50" s="10"/>
      <c r="J50" s="14"/>
      <c r="K50" s="14"/>
      <c r="L50" s="22"/>
      <c r="M50" s="47"/>
      <c r="N50" s="41"/>
      <c r="O50" s="22"/>
      <c r="P50" s="22"/>
      <c r="Q50" s="45"/>
      <c r="S50" s="50"/>
      <c r="T50" s="50"/>
      <c r="U50" s="50"/>
      <c r="V50" s="50"/>
    </row>
    <row r="51" spans="1:22" s="2" customFormat="1" hidden="1" outlineLevel="1" x14ac:dyDescent="0.35">
      <c r="A51" s="8"/>
      <c r="B51" s="9" t="s">
        <v>35</v>
      </c>
      <c r="C51" s="9">
        <f>6.8/0.4+1</f>
        <v>18</v>
      </c>
      <c r="D51" s="9">
        <v>3.75</v>
      </c>
      <c r="E51" s="9">
        <v>1</v>
      </c>
      <c r="F51" s="10">
        <f>+C51*D51*E51</f>
        <v>67.5</v>
      </c>
      <c r="G51" s="10"/>
      <c r="H51" s="10"/>
      <c r="I51" s="10"/>
      <c r="J51" s="14"/>
      <c r="K51" s="14"/>
      <c r="L51" s="22"/>
      <c r="M51" s="47"/>
      <c r="N51" s="41"/>
      <c r="O51" s="22"/>
      <c r="P51" s="22"/>
      <c r="Q51" s="45"/>
      <c r="S51" s="50"/>
      <c r="T51" s="50"/>
      <c r="U51" s="50"/>
      <c r="V51" s="50"/>
    </row>
    <row r="52" spans="1:22" s="2" customFormat="1" hidden="1" outlineLevel="1" x14ac:dyDescent="0.35">
      <c r="A52" s="8"/>
      <c r="B52" s="9" t="s">
        <v>39</v>
      </c>
      <c r="C52" s="9">
        <f>2/0.4+1</f>
        <v>6</v>
      </c>
      <c r="D52" s="9">
        <v>3</v>
      </c>
      <c r="E52" s="9">
        <v>5</v>
      </c>
      <c r="F52" s="10">
        <f>+C52*D52*E52</f>
        <v>90</v>
      </c>
      <c r="G52" s="10"/>
      <c r="H52" s="10"/>
      <c r="I52" s="10"/>
      <c r="J52" s="14"/>
      <c r="K52" s="14"/>
      <c r="L52" s="22"/>
      <c r="M52" s="47"/>
      <c r="N52" s="41"/>
      <c r="O52" s="22"/>
      <c r="P52" s="22"/>
      <c r="Q52" s="45"/>
      <c r="S52" s="50"/>
      <c r="T52" s="50"/>
      <c r="U52" s="50"/>
      <c r="V52" s="50"/>
    </row>
    <row r="53" spans="1:22" s="2" customFormat="1" hidden="1" outlineLevel="1" x14ac:dyDescent="0.35">
      <c r="A53" s="8"/>
      <c r="B53" s="9" t="s">
        <v>37</v>
      </c>
      <c r="C53" s="9">
        <f>1/0.4+1</f>
        <v>3.5</v>
      </c>
      <c r="D53" s="9">
        <v>3</v>
      </c>
      <c r="E53" s="9">
        <v>1</v>
      </c>
      <c r="F53" s="10">
        <f>+C53*D53*E53</f>
        <v>10.5</v>
      </c>
      <c r="G53" s="10"/>
      <c r="H53" s="10"/>
      <c r="I53" s="10"/>
      <c r="J53" s="14"/>
      <c r="K53" s="14"/>
      <c r="L53" s="22"/>
      <c r="M53" s="47"/>
      <c r="N53" s="41"/>
      <c r="O53" s="22"/>
      <c r="P53" s="22"/>
      <c r="Q53" s="45"/>
      <c r="S53" s="50"/>
      <c r="T53" s="50"/>
      <c r="U53" s="50"/>
      <c r="V53" s="50"/>
    </row>
    <row r="54" spans="1:22" s="2" customFormat="1" hidden="1" outlineLevel="1" x14ac:dyDescent="0.35">
      <c r="A54" s="8"/>
      <c r="B54" s="9" t="s">
        <v>40</v>
      </c>
      <c r="C54" s="9">
        <f>2.7/0.4+1</f>
        <v>7.75</v>
      </c>
      <c r="D54" s="9">
        <v>3</v>
      </c>
      <c r="E54" s="9">
        <v>3</v>
      </c>
      <c r="F54" s="10">
        <f>+C54*D54*E54</f>
        <v>69.75</v>
      </c>
      <c r="G54" s="10"/>
      <c r="H54" s="10"/>
      <c r="I54" s="10"/>
      <c r="J54" s="14"/>
      <c r="K54" s="14"/>
      <c r="L54" s="22"/>
      <c r="M54" s="47"/>
      <c r="N54" s="41"/>
      <c r="O54" s="22"/>
      <c r="P54" s="22"/>
      <c r="Q54" s="45"/>
      <c r="S54" s="50"/>
      <c r="T54" s="50"/>
      <c r="U54" s="50"/>
      <c r="V54" s="50"/>
    </row>
    <row r="55" spans="1:22" s="2" customFormat="1" hidden="1" outlineLevel="1" x14ac:dyDescent="0.35">
      <c r="A55" s="8"/>
      <c r="B55" s="9"/>
      <c r="C55" s="9"/>
      <c r="D55" s="9"/>
      <c r="E55" s="9"/>
      <c r="F55" s="10"/>
      <c r="G55" s="10"/>
      <c r="H55" s="10"/>
      <c r="I55" s="10"/>
      <c r="J55" s="14"/>
      <c r="K55" s="14"/>
      <c r="L55" s="22"/>
      <c r="M55" s="47"/>
      <c r="N55" s="41"/>
      <c r="O55" s="22"/>
      <c r="P55" s="22"/>
      <c r="Q55" s="45"/>
      <c r="S55" s="50"/>
      <c r="T55" s="50"/>
      <c r="U55" s="50"/>
      <c r="V55" s="50"/>
    </row>
    <row r="56" spans="1:22" s="2" customFormat="1" hidden="1" outlineLevel="1" x14ac:dyDescent="0.35">
      <c r="A56" s="8"/>
      <c r="B56" s="67" t="s">
        <v>42</v>
      </c>
      <c r="C56" s="9">
        <f>12.5/0.4+1</f>
        <v>32.25</v>
      </c>
      <c r="D56" s="9">
        <v>3.75</v>
      </c>
      <c r="E56" s="9">
        <v>1</v>
      </c>
      <c r="F56" s="10">
        <f t="shared" ref="F56:F61" si="2">+C56*D56*E56</f>
        <v>120.9375</v>
      </c>
      <c r="G56" s="10"/>
      <c r="H56" s="10"/>
      <c r="I56" s="10"/>
      <c r="J56" s="14"/>
      <c r="K56" s="14"/>
      <c r="L56" s="22"/>
      <c r="M56" s="47"/>
      <c r="N56" s="41"/>
      <c r="O56" s="22"/>
      <c r="P56" s="22"/>
      <c r="Q56" s="45"/>
      <c r="S56" s="50"/>
      <c r="T56" s="50"/>
      <c r="U56" s="50"/>
      <c r="V56" s="50"/>
    </row>
    <row r="57" spans="1:22" s="2" customFormat="1" hidden="1" outlineLevel="1" x14ac:dyDescent="0.35">
      <c r="A57" s="8"/>
      <c r="B57" s="9" t="s">
        <v>35</v>
      </c>
      <c r="C57" s="9">
        <f>6.8/0.4+1</f>
        <v>18</v>
      </c>
      <c r="D57" s="9">
        <v>3.75</v>
      </c>
      <c r="E57" s="9">
        <v>1</v>
      </c>
      <c r="F57" s="10">
        <f t="shared" si="2"/>
        <v>67.5</v>
      </c>
      <c r="G57" s="10"/>
      <c r="H57" s="10"/>
      <c r="I57" s="10"/>
      <c r="J57" s="14"/>
      <c r="K57" s="14"/>
      <c r="L57" s="22"/>
      <c r="M57" s="47"/>
      <c r="N57" s="41"/>
      <c r="O57" s="22"/>
      <c r="P57" s="22"/>
      <c r="Q57" s="45"/>
      <c r="S57" s="50"/>
      <c r="T57" s="50"/>
      <c r="U57" s="50"/>
      <c r="V57" s="50"/>
    </row>
    <row r="58" spans="1:22" s="2" customFormat="1" hidden="1" outlineLevel="1" x14ac:dyDescent="0.35">
      <c r="A58" s="8"/>
      <c r="B58" s="9" t="s">
        <v>39</v>
      </c>
      <c r="C58" s="9">
        <f>2/0.4+1</f>
        <v>6</v>
      </c>
      <c r="D58" s="9">
        <v>3</v>
      </c>
      <c r="E58" s="9">
        <v>5</v>
      </c>
      <c r="F58" s="10">
        <f t="shared" si="2"/>
        <v>90</v>
      </c>
      <c r="G58" s="10"/>
      <c r="H58" s="10"/>
      <c r="I58" s="10"/>
      <c r="J58" s="14"/>
      <c r="K58" s="14"/>
      <c r="L58" s="22"/>
      <c r="M58" s="47"/>
      <c r="N58" s="41"/>
      <c r="O58" s="22"/>
      <c r="P58" s="22"/>
      <c r="Q58" s="45"/>
      <c r="S58" s="50"/>
      <c r="T58" s="50"/>
      <c r="U58" s="50"/>
      <c r="V58" s="50"/>
    </row>
    <row r="59" spans="1:22" s="2" customFormat="1" hidden="1" outlineLevel="1" x14ac:dyDescent="0.35">
      <c r="A59" s="8"/>
      <c r="B59" s="9" t="s">
        <v>37</v>
      </c>
      <c r="C59" s="9">
        <f>1/0.4+1</f>
        <v>3.5</v>
      </c>
      <c r="D59" s="9">
        <v>3</v>
      </c>
      <c r="E59" s="9">
        <v>1</v>
      </c>
      <c r="F59" s="10">
        <f t="shared" si="2"/>
        <v>10.5</v>
      </c>
      <c r="G59" s="10"/>
      <c r="H59" s="10"/>
      <c r="I59" s="10"/>
      <c r="J59" s="14"/>
      <c r="K59" s="14"/>
      <c r="L59" s="22"/>
      <c r="M59" s="47"/>
      <c r="N59" s="41"/>
      <c r="O59" s="22"/>
      <c r="P59" s="22"/>
      <c r="Q59" s="45"/>
      <c r="S59" s="50"/>
      <c r="T59" s="50"/>
      <c r="U59" s="50"/>
      <c r="V59" s="50"/>
    </row>
    <row r="60" spans="1:22" s="2" customFormat="1" hidden="1" outlineLevel="1" x14ac:dyDescent="0.35">
      <c r="A60" s="8"/>
      <c r="B60" s="9" t="s">
        <v>40</v>
      </c>
      <c r="C60" s="9">
        <f>2.7/0.4+1</f>
        <v>7.75</v>
      </c>
      <c r="D60" s="9">
        <v>3</v>
      </c>
      <c r="E60" s="9">
        <v>3</v>
      </c>
      <c r="F60" s="10">
        <f t="shared" si="2"/>
        <v>69.75</v>
      </c>
      <c r="G60" s="10"/>
      <c r="H60" s="10"/>
      <c r="I60" s="10"/>
      <c r="J60" s="14"/>
      <c r="K60" s="14"/>
      <c r="L60" s="22"/>
      <c r="M60" s="47"/>
      <c r="N60" s="41"/>
      <c r="O60" s="22"/>
      <c r="P60" s="22"/>
      <c r="Q60" s="45"/>
      <c r="S60" s="50"/>
      <c r="T60" s="50"/>
      <c r="U60" s="50"/>
      <c r="V60" s="50"/>
    </row>
    <row r="61" spans="1:22" s="2" customFormat="1" hidden="1" outlineLevel="1" x14ac:dyDescent="0.35">
      <c r="A61" s="8"/>
      <c r="B61" s="9"/>
      <c r="C61" s="9"/>
      <c r="D61" s="9">
        <v>3</v>
      </c>
      <c r="E61" s="9">
        <v>1</v>
      </c>
      <c r="F61" s="10">
        <f t="shared" si="2"/>
        <v>0</v>
      </c>
      <c r="G61" s="10"/>
      <c r="H61" s="10"/>
      <c r="I61" s="10"/>
      <c r="J61" s="14"/>
      <c r="K61" s="14"/>
      <c r="L61" s="22"/>
      <c r="M61" s="47"/>
      <c r="N61" s="41"/>
      <c r="O61" s="22"/>
      <c r="P61" s="22"/>
      <c r="Q61" s="45"/>
      <c r="S61" s="50"/>
      <c r="T61" s="50"/>
      <c r="U61" s="50"/>
      <c r="V61" s="50"/>
    </row>
    <row r="62" spans="1:22" s="2" customFormat="1" hidden="1" outlineLevel="1" x14ac:dyDescent="0.35">
      <c r="A62" s="8"/>
      <c r="B62" s="9"/>
      <c r="C62" s="9"/>
      <c r="D62" s="9"/>
      <c r="E62" s="9"/>
      <c r="F62" s="10"/>
      <c r="G62" s="10"/>
      <c r="H62" s="10"/>
      <c r="I62" s="10"/>
      <c r="J62" s="14"/>
      <c r="K62" s="14"/>
      <c r="L62" s="22"/>
      <c r="M62" s="47"/>
      <c r="N62" s="41"/>
      <c r="O62" s="22"/>
      <c r="P62" s="22"/>
      <c r="Q62" s="45"/>
      <c r="S62" s="50"/>
      <c r="T62" s="50"/>
      <c r="U62" s="50"/>
      <c r="V62" s="50"/>
    </row>
    <row r="63" spans="1:22" s="2" customFormat="1" hidden="1" outlineLevel="1" x14ac:dyDescent="0.35">
      <c r="A63" s="8"/>
      <c r="B63" s="9"/>
      <c r="C63" s="9"/>
      <c r="D63" s="9"/>
      <c r="E63" s="9"/>
      <c r="F63" s="10">
        <f>SUM(F45:F62)</f>
        <v>952.3125</v>
      </c>
      <c r="G63" s="10"/>
      <c r="H63" s="10"/>
      <c r="I63" s="10"/>
      <c r="J63" s="14"/>
      <c r="K63" s="14"/>
      <c r="L63" s="22"/>
      <c r="M63" s="47"/>
      <c r="N63" s="41"/>
      <c r="O63" s="22"/>
      <c r="P63" s="22"/>
      <c r="Q63" s="45"/>
      <c r="S63" s="50"/>
      <c r="T63" s="50"/>
      <c r="U63" s="50"/>
      <c r="V63" s="50"/>
    </row>
    <row r="64" spans="1:22" collapsed="1" x14ac:dyDescent="0.35">
      <c r="A64" s="6"/>
      <c r="B64" s="56"/>
      <c r="C64" s="56"/>
      <c r="D64" s="56"/>
      <c r="E64" s="56"/>
      <c r="F64" s="6"/>
      <c r="G64" s="6"/>
      <c r="H64" s="6"/>
      <c r="I64" s="6"/>
      <c r="J64" s="14"/>
      <c r="K64" s="14"/>
      <c r="L64" s="21"/>
      <c r="M64" s="46"/>
      <c r="N64" s="40"/>
      <c r="O64" s="21"/>
      <c r="P64" s="21"/>
      <c r="Q64" s="45"/>
      <c r="S64" s="3"/>
      <c r="T64" s="3"/>
      <c r="U64" s="3"/>
      <c r="V64" s="3"/>
    </row>
    <row r="65" spans="1:22" x14ac:dyDescent="0.35">
      <c r="A65" s="6">
        <f>+A44+1</f>
        <v>6</v>
      </c>
      <c r="B65" s="57" t="s">
        <v>57</v>
      </c>
      <c r="C65" s="57"/>
      <c r="D65" s="57"/>
      <c r="E65" s="57"/>
      <c r="F65" s="58">
        <v>55</v>
      </c>
      <c r="G65" s="6" t="s">
        <v>38</v>
      </c>
      <c r="H65" s="6"/>
      <c r="I65" s="6" t="str">
        <f>+$Q$2</f>
        <v>??</v>
      </c>
      <c r="J65" s="14" t="e">
        <f>+F65*H65*I65</f>
        <v>#VALUE!</v>
      </c>
      <c r="K65" s="14"/>
      <c r="L65" s="21"/>
      <c r="M65" s="46">
        <v>0.1</v>
      </c>
      <c r="N65" s="40">
        <f>+L65*M65</f>
        <v>0</v>
      </c>
      <c r="O65" s="21"/>
      <c r="P65" s="21"/>
      <c r="Q65" s="45">
        <f>+(F65*L65)+(F65*N65)+O65+P65</f>
        <v>0</v>
      </c>
      <c r="S65" s="53" t="e">
        <f>+T65/F65</f>
        <v>#VALUE!</v>
      </c>
      <c r="T65" s="49" t="e">
        <f>+J65+K65+Q65</f>
        <v>#VALUE!</v>
      </c>
      <c r="U65" s="49"/>
      <c r="V65" s="53">
        <f>+F65*H65</f>
        <v>0</v>
      </c>
    </row>
    <row r="66" spans="1:22" s="2" customFormat="1" hidden="1" outlineLevel="1" x14ac:dyDescent="0.35">
      <c r="A66" s="8"/>
      <c r="B66" s="9" t="s">
        <v>58</v>
      </c>
      <c r="C66" s="9">
        <v>1</v>
      </c>
      <c r="D66" s="9">
        <v>1</v>
      </c>
      <c r="E66" s="9">
        <v>3</v>
      </c>
      <c r="F66" s="10">
        <f t="shared" ref="F66:F73" si="3">+C66*D66*E66</f>
        <v>3</v>
      </c>
      <c r="G66" s="10"/>
      <c r="H66" s="10"/>
      <c r="I66" s="10"/>
      <c r="J66" s="14"/>
      <c r="K66" s="14"/>
      <c r="L66" s="22"/>
      <c r="M66" s="47"/>
      <c r="N66" s="41"/>
      <c r="O66" s="22"/>
      <c r="P66" s="22"/>
      <c r="Q66" s="45"/>
      <c r="S66" s="50"/>
      <c r="T66" s="50"/>
      <c r="U66" s="50"/>
      <c r="V66" s="50"/>
    </row>
    <row r="67" spans="1:22" s="2" customFormat="1" hidden="1" outlineLevel="1" x14ac:dyDescent="0.35">
      <c r="A67" s="8"/>
      <c r="B67" s="9" t="s">
        <v>59</v>
      </c>
      <c r="C67" s="9">
        <v>3.5</v>
      </c>
      <c r="D67" s="9">
        <v>1</v>
      </c>
      <c r="E67" s="9">
        <v>4</v>
      </c>
      <c r="F67" s="10">
        <f t="shared" si="3"/>
        <v>14</v>
      </c>
      <c r="G67" s="10"/>
      <c r="H67" s="10"/>
      <c r="I67" s="10"/>
      <c r="J67" s="14"/>
      <c r="K67" s="14"/>
      <c r="L67" s="22"/>
      <c r="M67" s="47"/>
      <c r="N67" s="41"/>
      <c r="O67" s="22"/>
      <c r="P67" s="22"/>
      <c r="Q67" s="45"/>
      <c r="S67" s="50"/>
      <c r="T67" s="50"/>
      <c r="U67" s="50"/>
      <c r="V67" s="50"/>
    </row>
    <row r="68" spans="1:22" s="2" customFormat="1" hidden="1" outlineLevel="1" x14ac:dyDescent="0.35">
      <c r="A68" s="8"/>
      <c r="B68" s="67"/>
      <c r="C68" s="9"/>
      <c r="D68" s="9"/>
      <c r="E68" s="9"/>
      <c r="F68" s="10">
        <f t="shared" si="3"/>
        <v>0</v>
      </c>
      <c r="G68" s="10"/>
      <c r="H68" s="10"/>
      <c r="I68" s="10"/>
      <c r="J68" s="14"/>
      <c r="K68" s="14"/>
      <c r="L68" s="22"/>
      <c r="M68" s="47"/>
      <c r="N68" s="41"/>
      <c r="O68" s="22"/>
      <c r="P68" s="22"/>
      <c r="Q68" s="45"/>
      <c r="S68" s="50"/>
      <c r="T68" s="50"/>
      <c r="U68" s="50"/>
      <c r="V68" s="50"/>
    </row>
    <row r="69" spans="1:22" s="2" customFormat="1" hidden="1" outlineLevel="1" x14ac:dyDescent="0.35">
      <c r="A69" s="8"/>
      <c r="B69" s="9"/>
      <c r="C69" s="9"/>
      <c r="D69" s="9"/>
      <c r="E69" s="9"/>
      <c r="F69" s="10">
        <f t="shared" si="3"/>
        <v>0</v>
      </c>
      <c r="G69" s="10"/>
      <c r="H69" s="10"/>
      <c r="I69" s="10"/>
      <c r="J69" s="14"/>
      <c r="K69" s="14"/>
      <c r="L69" s="22"/>
      <c r="M69" s="47"/>
      <c r="N69" s="41"/>
      <c r="O69" s="22"/>
      <c r="P69" s="22"/>
      <c r="Q69" s="45"/>
      <c r="S69" s="50"/>
      <c r="T69" s="50"/>
      <c r="U69" s="50"/>
      <c r="V69" s="50"/>
    </row>
    <row r="70" spans="1:22" s="2" customFormat="1" hidden="1" outlineLevel="1" x14ac:dyDescent="0.35">
      <c r="A70" s="8"/>
      <c r="B70" s="9"/>
      <c r="C70" s="9"/>
      <c r="D70" s="9"/>
      <c r="E70" s="9"/>
      <c r="F70" s="10">
        <f t="shared" si="3"/>
        <v>0</v>
      </c>
      <c r="G70" s="10"/>
      <c r="H70" s="10"/>
      <c r="I70" s="10"/>
      <c r="J70" s="14"/>
      <c r="K70" s="14"/>
      <c r="L70" s="22"/>
      <c r="M70" s="47"/>
      <c r="N70" s="41"/>
      <c r="O70" s="22"/>
      <c r="P70" s="22"/>
      <c r="Q70" s="45"/>
      <c r="S70" s="50"/>
      <c r="T70" s="50"/>
      <c r="U70" s="50"/>
      <c r="V70" s="50"/>
    </row>
    <row r="71" spans="1:22" s="2" customFormat="1" hidden="1" outlineLevel="1" x14ac:dyDescent="0.35">
      <c r="A71" s="8"/>
      <c r="B71" s="67"/>
      <c r="C71" s="9"/>
      <c r="D71" s="9"/>
      <c r="E71" s="9"/>
      <c r="F71" s="10">
        <f t="shared" si="3"/>
        <v>0</v>
      </c>
      <c r="G71" s="10"/>
      <c r="H71" s="10"/>
      <c r="I71" s="10"/>
      <c r="J71" s="14"/>
      <c r="K71" s="14"/>
      <c r="L71" s="22"/>
      <c r="M71" s="47"/>
      <c r="N71" s="41"/>
      <c r="O71" s="22"/>
      <c r="P71" s="22"/>
      <c r="Q71" s="45"/>
      <c r="S71" s="50"/>
      <c r="T71" s="50"/>
      <c r="U71" s="50"/>
      <c r="V71" s="50"/>
    </row>
    <row r="72" spans="1:22" s="2" customFormat="1" hidden="1" outlineLevel="1" x14ac:dyDescent="0.35">
      <c r="A72" s="8"/>
      <c r="B72" s="9"/>
      <c r="C72" s="9"/>
      <c r="D72" s="9"/>
      <c r="E72" s="9"/>
      <c r="F72" s="10">
        <f t="shared" si="3"/>
        <v>0</v>
      </c>
      <c r="G72" s="10"/>
      <c r="H72" s="10"/>
      <c r="I72" s="10"/>
      <c r="J72" s="14"/>
      <c r="K72" s="14"/>
      <c r="L72" s="22"/>
      <c r="M72" s="47"/>
      <c r="N72" s="41"/>
      <c r="O72" s="22"/>
      <c r="P72" s="22"/>
      <c r="Q72" s="45"/>
      <c r="S72" s="50"/>
      <c r="T72" s="50"/>
      <c r="U72" s="50"/>
      <c r="V72" s="50"/>
    </row>
    <row r="73" spans="1:22" s="2" customFormat="1" hidden="1" outlineLevel="1" x14ac:dyDescent="0.35">
      <c r="A73" s="8"/>
      <c r="B73" s="9"/>
      <c r="C73" s="9"/>
      <c r="D73" s="9"/>
      <c r="E73" s="9"/>
      <c r="F73" s="10">
        <f t="shared" si="3"/>
        <v>0</v>
      </c>
      <c r="G73" s="10"/>
      <c r="H73" s="10"/>
      <c r="I73" s="10"/>
      <c r="J73" s="14"/>
      <c r="K73" s="14"/>
      <c r="L73" s="22"/>
      <c r="M73" s="47"/>
      <c r="N73" s="41"/>
      <c r="O73" s="22"/>
      <c r="P73" s="22"/>
      <c r="Q73" s="45"/>
      <c r="S73" s="50"/>
      <c r="T73" s="50"/>
      <c r="U73" s="50"/>
      <c r="V73" s="50"/>
    </row>
    <row r="74" spans="1:22" s="2" customFormat="1" hidden="1" outlineLevel="1" x14ac:dyDescent="0.35">
      <c r="A74" s="8"/>
      <c r="B74" s="9"/>
      <c r="C74" s="9"/>
      <c r="D74" s="9"/>
      <c r="E74" s="9"/>
      <c r="F74" s="10"/>
      <c r="G74" s="10"/>
      <c r="H74" s="10"/>
      <c r="I74" s="10"/>
      <c r="J74" s="14"/>
      <c r="K74" s="14"/>
      <c r="L74" s="22"/>
      <c r="M74" s="47"/>
      <c r="N74" s="41"/>
      <c r="O74" s="22"/>
      <c r="P74" s="22"/>
      <c r="Q74" s="45"/>
      <c r="S74" s="50"/>
      <c r="T74" s="50"/>
      <c r="U74" s="50"/>
      <c r="V74" s="50"/>
    </row>
    <row r="75" spans="1:22" s="2" customFormat="1" hidden="1" outlineLevel="1" x14ac:dyDescent="0.35">
      <c r="A75" s="8"/>
      <c r="B75" s="9"/>
      <c r="C75" s="9"/>
      <c r="D75" s="9"/>
      <c r="E75" s="9"/>
      <c r="F75" s="10">
        <f>SUM(F66:F74)</f>
        <v>17</v>
      </c>
      <c r="G75" s="10"/>
      <c r="H75" s="10"/>
      <c r="I75" s="10"/>
      <c r="J75" s="14"/>
      <c r="K75" s="14"/>
      <c r="L75" s="22"/>
      <c r="M75" s="47"/>
      <c r="N75" s="41"/>
      <c r="O75" s="22"/>
      <c r="P75" s="22"/>
      <c r="Q75" s="45"/>
      <c r="S75" s="50"/>
      <c r="T75" s="50"/>
      <c r="U75" s="50"/>
      <c r="V75" s="50"/>
    </row>
    <row r="76" spans="1:22" collapsed="1" x14ac:dyDescent="0.35">
      <c r="A76" s="6"/>
      <c r="B76" s="56"/>
      <c r="C76" s="56"/>
      <c r="D76" s="56"/>
      <c r="E76" s="56"/>
      <c r="F76" s="6"/>
      <c r="G76" s="6"/>
      <c r="H76" s="6"/>
      <c r="I76" s="6"/>
      <c r="J76" s="14"/>
      <c r="K76" s="14"/>
      <c r="L76" s="21"/>
      <c r="M76" s="46"/>
      <c r="N76" s="40"/>
      <c r="O76" s="21"/>
      <c r="P76" s="21"/>
      <c r="Q76" s="45"/>
      <c r="S76" s="3"/>
      <c r="T76" s="3"/>
      <c r="U76" s="3"/>
      <c r="V76" s="3"/>
    </row>
    <row r="77" spans="1:22" x14ac:dyDescent="0.35">
      <c r="A77" s="6">
        <f>+A65+1</f>
        <v>7</v>
      </c>
      <c r="B77" s="57" t="s">
        <v>60</v>
      </c>
      <c r="C77" s="57"/>
      <c r="D77" s="57"/>
      <c r="E77" s="57"/>
      <c r="F77" s="58">
        <f>+ROUNDUP(F86,0)</f>
        <v>85</v>
      </c>
      <c r="G77" s="6" t="s">
        <v>38</v>
      </c>
      <c r="H77" s="6"/>
      <c r="I77" s="6" t="str">
        <f>+$Q$2</f>
        <v>??</v>
      </c>
      <c r="J77" s="14" t="e">
        <f>+F77*H77*I77</f>
        <v>#VALUE!</v>
      </c>
      <c r="K77" s="14"/>
      <c r="L77" s="21"/>
      <c r="M77" s="46">
        <v>0.1</v>
      </c>
      <c r="N77" s="40">
        <f>+L77*M77</f>
        <v>0</v>
      </c>
      <c r="O77" s="21"/>
      <c r="P77" s="21"/>
      <c r="Q77" s="45">
        <f>+(F77*L77)+(F77*N77)+O77+P77</f>
        <v>0</v>
      </c>
      <c r="S77" s="53" t="e">
        <f>+T77/F77</f>
        <v>#VALUE!</v>
      </c>
      <c r="T77" s="49" t="e">
        <f>+J77+K77+Q77</f>
        <v>#VALUE!</v>
      </c>
      <c r="U77" s="49"/>
      <c r="V77" s="53">
        <f>+F77*H77</f>
        <v>0</v>
      </c>
    </row>
    <row r="78" spans="1:22" s="2" customFormat="1" hidden="1" outlineLevel="1" x14ac:dyDescent="0.35">
      <c r="A78" s="8"/>
      <c r="B78" s="9" t="s">
        <v>61</v>
      </c>
      <c r="C78" s="9">
        <v>13.8</v>
      </c>
      <c r="D78" s="9">
        <v>1</v>
      </c>
      <c r="E78" s="9">
        <v>4</v>
      </c>
      <c r="F78" s="10">
        <f t="shared" ref="F78:F84" si="4">+C78*D78*E78</f>
        <v>55.2</v>
      </c>
      <c r="G78" s="10"/>
      <c r="H78" s="10"/>
      <c r="I78" s="10"/>
      <c r="J78" s="14"/>
      <c r="K78" s="14"/>
      <c r="L78" s="22"/>
      <c r="M78" s="47"/>
      <c r="N78" s="41"/>
      <c r="O78" s="22"/>
      <c r="P78" s="22"/>
      <c r="Q78" s="45"/>
      <c r="S78" s="50"/>
      <c r="T78" s="50"/>
      <c r="U78" s="50"/>
      <c r="V78" s="50"/>
    </row>
    <row r="79" spans="1:22" s="2" customFormat="1" hidden="1" outlineLevel="1" x14ac:dyDescent="0.35">
      <c r="A79" s="8"/>
      <c r="B79" s="9" t="s">
        <v>67</v>
      </c>
      <c r="C79" s="9">
        <v>7.3</v>
      </c>
      <c r="D79" s="9">
        <v>1</v>
      </c>
      <c r="E79" s="9">
        <v>4</v>
      </c>
      <c r="F79" s="10">
        <f t="shared" si="4"/>
        <v>29.2</v>
      </c>
      <c r="G79" s="10"/>
      <c r="H79" s="10"/>
      <c r="I79" s="10"/>
      <c r="J79" s="14"/>
      <c r="K79" s="14"/>
      <c r="L79" s="22"/>
      <c r="M79" s="47"/>
      <c r="N79" s="41"/>
      <c r="O79" s="22"/>
      <c r="P79" s="22"/>
      <c r="Q79" s="45"/>
      <c r="S79" s="50"/>
      <c r="T79" s="50"/>
      <c r="U79" s="50"/>
      <c r="V79" s="50"/>
    </row>
    <row r="80" spans="1:22" s="2" customFormat="1" hidden="1" outlineLevel="1" x14ac:dyDescent="0.35">
      <c r="A80" s="8"/>
      <c r="B80" s="9"/>
      <c r="C80" s="9"/>
      <c r="D80" s="9"/>
      <c r="E80" s="9"/>
      <c r="F80" s="10">
        <f t="shared" si="4"/>
        <v>0</v>
      </c>
      <c r="G80" s="10"/>
      <c r="H80" s="10"/>
      <c r="I80" s="10"/>
      <c r="J80" s="14"/>
      <c r="K80" s="14"/>
      <c r="L80" s="22"/>
      <c r="M80" s="47"/>
      <c r="N80" s="41"/>
      <c r="O80" s="22"/>
      <c r="P80" s="22"/>
      <c r="Q80" s="45"/>
      <c r="S80" s="50"/>
      <c r="T80" s="50"/>
      <c r="U80" s="50"/>
      <c r="V80" s="50"/>
    </row>
    <row r="81" spans="1:22" s="2" customFormat="1" hidden="1" outlineLevel="1" x14ac:dyDescent="0.35">
      <c r="A81" s="8"/>
      <c r="B81" s="9"/>
      <c r="C81" s="9"/>
      <c r="D81" s="9"/>
      <c r="E81" s="9"/>
      <c r="F81" s="10">
        <f t="shared" si="4"/>
        <v>0</v>
      </c>
      <c r="G81" s="10"/>
      <c r="H81" s="10"/>
      <c r="I81" s="10"/>
      <c r="J81" s="14"/>
      <c r="K81" s="14"/>
      <c r="L81" s="22"/>
      <c r="M81" s="47"/>
      <c r="N81" s="41"/>
      <c r="O81" s="22"/>
      <c r="P81" s="22"/>
      <c r="Q81" s="45"/>
      <c r="S81" s="50"/>
      <c r="T81" s="50"/>
      <c r="U81" s="50"/>
      <c r="V81" s="50"/>
    </row>
    <row r="82" spans="1:22" s="2" customFormat="1" hidden="1" outlineLevel="1" x14ac:dyDescent="0.35">
      <c r="A82" s="8"/>
      <c r="B82" s="67"/>
      <c r="C82" s="9"/>
      <c r="D82" s="9"/>
      <c r="E82" s="9"/>
      <c r="F82" s="10">
        <f t="shared" si="4"/>
        <v>0</v>
      </c>
      <c r="G82" s="10"/>
      <c r="H82" s="10"/>
      <c r="I82" s="10"/>
      <c r="J82" s="14"/>
      <c r="K82" s="14"/>
      <c r="L82" s="22"/>
      <c r="M82" s="47"/>
      <c r="N82" s="41"/>
      <c r="O82" s="22"/>
      <c r="P82" s="22"/>
      <c r="Q82" s="45"/>
      <c r="S82" s="50"/>
      <c r="T82" s="50"/>
      <c r="U82" s="50"/>
      <c r="V82" s="50"/>
    </row>
    <row r="83" spans="1:22" s="2" customFormat="1" hidden="1" outlineLevel="1" x14ac:dyDescent="0.35">
      <c r="A83" s="8"/>
      <c r="B83" s="9"/>
      <c r="C83" s="9"/>
      <c r="D83" s="9"/>
      <c r="E83" s="9"/>
      <c r="F83" s="10">
        <f t="shared" si="4"/>
        <v>0</v>
      </c>
      <c r="G83" s="10"/>
      <c r="H83" s="10"/>
      <c r="I83" s="10"/>
      <c r="J83" s="14"/>
      <c r="K83" s="14"/>
      <c r="L83" s="22"/>
      <c r="M83" s="47"/>
      <c r="N83" s="41"/>
      <c r="O83" s="22"/>
      <c r="P83" s="22"/>
      <c r="Q83" s="45"/>
      <c r="S83" s="50"/>
      <c r="T83" s="50"/>
      <c r="U83" s="50"/>
      <c r="V83" s="50"/>
    </row>
    <row r="84" spans="1:22" s="2" customFormat="1" hidden="1" outlineLevel="1" x14ac:dyDescent="0.35">
      <c r="A84" s="8"/>
      <c r="B84" s="9"/>
      <c r="C84" s="9"/>
      <c r="D84" s="9"/>
      <c r="E84" s="9"/>
      <c r="F84" s="10">
        <f t="shared" si="4"/>
        <v>0</v>
      </c>
      <c r="G84" s="10"/>
      <c r="H84" s="10"/>
      <c r="I84" s="10"/>
      <c r="J84" s="14"/>
      <c r="K84" s="14"/>
      <c r="L84" s="22"/>
      <c r="M84" s="47"/>
      <c r="N84" s="41"/>
      <c r="O84" s="22"/>
      <c r="P84" s="22"/>
      <c r="Q84" s="45"/>
      <c r="S84" s="50"/>
      <c r="T84" s="50"/>
      <c r="U84" s="50"/>
      <c r="V84" s="50"/>
    </row>
    <row r="85" spans="1:22" s="2" customFormat="1" hidden="1" outlineLevel="1" x14ac:dyDescent="0.35">
      <c r="A85" s="8"/>
      <c r="B85" s="9"/>
      <c r="C85" s="9"/>
      <c r="D85" s="9"/>
      <c r="E85" s="9"/>
      <c r="F85" s="10"/>
      <c r="G85" s="10"/>
      <c r="H85" s="10"/>
      <c r="I85" s="10"/>
      <c r="J85" s="14"/>
      <c r="K85" s="14"/>
      <c r="L85" s="22"/>
      <c r="M85" s="47"/>
      <c r="N85" s="41"/>
      <c r="O85" s="22"/>
      <c r="P85" s="22"/>
      <c r="Q85" s="45"/>
      <c r="S85" s="50"/>
      <c r="T85" s="50"/>
      <c r="U85" s="50"/>
      <c r="V85" s="50"/>
    </row>
    <row r="86" spans="1:22" s="2" customFormat="1" hidden="1" outlineLevel="1" x14ac:dyDescent="0.35">
      <c r="A86" s="8"/>
      <c r="B86" s="9"/>
      <c r="C86" s="9"/>
      <c r="D86" s="9"/>
      <c r="E86" s="9"/>
      <c r="F86" s="10">
        <f>SUM(F78:F85)</f>
        <v>84.4</v>
      </c>
      <c r="G86" s="10"/>
      <c r="H86" s="10"/>
      <c r="I86" s="10"/>
      <c r="J86" s="14"/>
      <c r="K86" s="14"/>
      <c r="L86" s="22"/>
      <c r="M86" s="47"/>
      <c r="N86" s="41"/>
      <c r="O86" s="22"/>
      <c r="P86" s="22"/>
      <c r="Q86" s="45"/>
      <c r="S86" s="50"/>
      <c r="T86" s="50"/>
      <c r="U86" s="50"/>
      <c r="V86" s="50"/>
    </row>
    <row r="87" spans="1:22" collapsed="1" x14ac:dyDescent="0.35">
      <c r="A87" s="6"/>
      <c r="B87" s="56"/>
      <c r="C87" s="56"/>
      <c r="D87" s="56"/>
      <c r="E87" s="56"/>
      <c r="F87" s="6"/>
      <c r="G87" s="6"/>
      <c r="H87" s="6"/>
      <c r="I87" s="6"/>
      <c r="J87" s="14"/>
      <c r="K87" s="14"/>
      <c r="L87" s="21"/>
      <c r="M87" s="46"/>
      <c r="N87" s="40"/>
      <c r="O87" s="21"/>
      <c r="P87" s="21"/>
      <c r="Q87" s="45"/>
      <c r="S87" s="3"/>
      <c r="T87" s="3"/>
      <c r="U87" s="3"/>
      <c r="V87" s="3"/>
    </row>
    <row r="88" spans="1:22" x14ac:dyDescent="0.35">
      <c r="A88" s="6">
        <f>+A77+1</f>
        <v>8</v>
      </c>
      <c r="B88" s="57" t="s">
        <v>47</v>
      </c>
      <c r="C88" s="57"/>
      <c r="D88" s="57"/>
      <c r="E88" s="57"/>
      <c r="F88" s="58">
        <v>191</v>
      </c>
      <c r="G88" s="6" t="s">
        <v>38</v>
      </c>
      <c r="H88" s="6"/>
      <c r="I88" s="6" t="str">
        <f>+$Q$2</f>
        <v>??</v>
      </c>
      <c r="J88" s="14" t="e">
        <f>+F88*H88*I88</f>
        <v>#VALUE!</v>
      </c>
      <c r="K88" s="14"/>
      <c r="L88" s="21"/>
      <c r="M88" s="46">
        <v>0.1</v>
      </c>
      <c r="N88" s="40">
        <f>+L88*M88</f>
        <v>0</v>
      </c>
      <c r="O88" s="21"/>
      <c r="P88" s="21"/>
      <c r="Q88" s="45">
        <f>+(F88*L88)+(F88*N88)+O88+P88</f>
        <v>0</v>
      </c>
      <c r="S88" s="53" t="e">
        <f>+T88/F88</f>
        <v>#VALUE!</v>
      </c>
      <c r="T88" s="49" t="e">
        <f>+J88+K88+Q88</f>
        <v>#VALUE!</v>
      </c>
      <c r="U88" s="49"/>
      <c r="V88" s="53">
        <f>+F88*H88</f>
        <v>0</v>
      </c>
    </row>
    <row r="89" spans="1:22" s="2" customFormat="1" hidden="1" outlineLevel="1" x14ac:dyDescent="0.35">
      <c r="A89" s="8"/>
      <c r="B89" s="9" t="s">
        <v>43</v>
      </c>
      <c r="C89" s="9">
        <v>3.5</v>
      </c>
      <c r="D89" s="9">
        <v>2</v>
      </c>
      <c r="E89" s="9">
        <v>2</v>
      </c>
      <c r="F89" s="10">
        <f t="shared" ref="F89:F97" si="5">+C89*D89*E89</f>
        <v>14</v>
      </c>
      <c r="G89" s="10"/>
      <c r="H89" s="10"/>
      <c r="I89" s="10"/>
      <c r="J89" s="14"/>
      <c r="K89" s="14"/>
      <c r="L89" s="22"/>
      <c r="M89" s="47"/>
      <c r="N89" s="41"/>
      <c r="O89" s="22"/>
      <c r="P89" s="22"/>
      <c r="Q89" s="45"/>
      <c r="S89" s="50"/>
      <c r="T89" s="50"/>
      <c r="U89" s="50"/>
      <c r="V89" s="50"/>
    </row>
    <row r="90" spans="1:22" s="2" customFormat="1" hidden="1" outlineLevel="1" x14ac:dyDescent="0.35">
      <c r="A90" s="8"/>
      <c r="B90" s="9" t="s">
        <v>44</v>
      </c>
      <c r="C90" s="9">
        <v>3.5</v>
      </c>
      <c r="D90" s="9">
        <v>2</v>
      </c>
      <c r="E90" s="9">
        <v>2</v>
      </c>
      <c r="F90" s="10">
        <f t="shared" si="5"/>
        <v>14</v>
      </c>
      <c r="G90" s="10"/>
      <c r="H90" s="10"/>
      <c r="I90" s="10"/>
      <c r="J90" s="14"/>
      <c r="K90" s="14"/>
      <c r="L90" s="22"/>
      <c r="M90" s="47"/>
      <c r="N90" s="41"/>
      <c r="O90" s="22"/>
      <c r="P90" s="22"/>
      <c r="Q90" s="45"/>
      <c r="S90" s="50"/>
      <c r="T90" s="50"/>
      <c r="U90" s="50"/>
      <c r="V90" s="50"/>
    </row>
    <row r="91" spans="1:22" s="2" customFormat="1" hidden="1" outlineLevel="1" x14ac:dyDescent="0.35">
      <c r="A91" s="8"/>
      <c r="B91" s="9"/>
      <c r="C91" s="9"/>
      <c r="D91" s="9"/>
      <c r="E91" s="9"/>
      <c r="F91" s="10">
        <f t="shared" si="5"/>
        <v>0</v>
      </c>
      <c r="G91" s="10"/>
      <c r="H91" s="10"/>
      <c r="I91" s="10"/>
      <c r="J91" s="14"/>
      <c r="K91" s="14"/>
      <c r="L91" s="22"/>
      <c r="M91" s="47"/>
      <c r="N91" s="41"/>
      <c r="O91" s="22"/>
      <c r="P91" s="22"/>
      <c r="Q91" s="45"/>
      <c r="S91" s="50"/>
      <c r="T91" s="50"/>
      <c r="U91" s="50"/>
      <c r="V91" s="50"/>
    </row>
    <row r="92" spans="1:22" s="2" customFormat="1" hidden="1" outlineLevel="1" x14ac:dyDescent="0.35">
      <c r="A92" s="8"/>
      <c r="B92" s="67" t="s">
        <v>45</v>
      </c>
      <c r="C92" s="9">
        <v>3.5</v>
      </c>
      <c r="D92" s="9">
        <v>2</v>
      </c>
      <c r="E92" s="9">
        <v>2</v>
      </c>
      <c r="F92" s="10">
        <f t="shared" si="5"/>
        <v>14</v>
      </c>
      <c r="G92" s="10"/>
      <c r="H92" s="10"/>
      <c r="I92" s="10"/>
      <c r="J92" s="14"/>
      <c r="K92" s="14"/>
      <c r="L92" s="22"/>
      <c r="M92" s="47"/>
      <c r="N92" s="41"/>
      <c r="O92" s="22"/>
      <c r="P92" s="22"/>
      <c r="Q92" s="45"/>
      <c r="S92" s="50"/>
      <c r="T92" s="50"/>
      <c r="U92" s="50"/>
      <c r="V92" s="50"/>
    </row>
    <row r="93" spans="1:22" s="2" customFormat="1" hidden="1" outlineLevel="1" x14ac:dyDescent="0.35">
      <c r="A93" s="8"/>
      <c r="B93" s="9" t="s">
        <v>44</v>
      </c>
      <c r="C93" s="9">
        <v>3.5</v>
      </c>
      <c r="D93" s="9">
        <v>2</v>
      </c>
      <c r="E93" s="9">
        <v>3</v>
      </c>
      <c r="F93" s="10">
        <f t="shared" si="5"/>
        <v>21</v>
      </c>
      <c r="G93" s="10"/>
      <c r="H93" s="10"/>
      <c r="I93" s="10"/>
      <c r="J93" s="14"/>
      <c r="K93" s="14"/>
      <c r="L93" s="22"/>
      <c r="M93" s="47"/>
      <c r="N93" s="41"/>
      <c r="O93" s="22"/>
      <c r="P93" s="22"/>
      <c r="Q93" s="45"/>
      <c r="S93" s="50"/>
      <c r="T93" s="50"/>
      <c r="U93" s="50"/>
      <c r="V93" s="50"/>
    </row>
    <row r="94" spans="1:22" s="2" customFormat="1" hidden="1" outlineLevel="1" x14ac:dyDescent="0.35">
      <c r="A94" s="8"/>
      <c r="B94" s="9"/>
      <c r="C94" s="9"/>
      <c r="D94" s="9"/>
      <c r="E94" s="9"/>
      <c r="F94" s="10">
        <f t="shared" si="5"/>
        <v>0</v>
      </c>
      <c r="G94" s="10"/>
      <c r="H94" s="10"/>
      <c r="I94" s="10"/>
      <c r="J94" s="14"/>
      <c r="K94" s="14"/>
      <c r="L94" s="22"/>
      <c r="M94" s="47"/>
      <c r="N94" s="41"/>
      <c r="O94" s="22"/>
      <c r="P94" s="22"/>
      <c r="Q94" s="45"/>
      <c r="S94" s="50"/>
      <c r="T94" s="50"/>
      <c r="U94" s="50"/>
      <c r="V94" s="50"/>
    </row>
    <row r="95" spans="1:22" s="2" customFormat="1" hidden="1" outlineLevel="1" x14ac:dyDescent="0.35">
      <c r="A95" s="8"/>
      <c r="B95" s="67" t="s">
        <v>46</v>
      </c>
      <c r="C95" s="9">
        <v>3.5</v>
      </c>
      <c r="D95" s="9">
        <v>2</v>
      </c>
      <c r="E95" s="9">
        <v>2</v>
      </c>
      <c r="F95" s="10">
        <f t="shared" si="5"/>
        <v>14</v>
      </c>
      <c r="G95" s="10"/>
      <c r="H95" s="10"/>
      <c r="I95" s="10"/>
      <c r="J95" s="14"/>
      <c r="K95" s="14"/>
      <c r="L95" s="22"/>
      <c r="M95" s="47"/>
      <c r="N95" s="41"/>
      <c r="O95" s="22"/>
      <c r="P95" s="22"/>
      <c r="Q95" s="45"/>
      <c r="S95" s="50"/>
      <c r="T95" s="50"/>
      <c r="U95" s="50"/>
      <c r="V95" s="50"/>
    </row>
    <row r="96" spans="1:22" s="2" customFormat="1" hidden="1" outlineLevel="1" x14ac:dyDescent="0.35">
      <c r="A96" s="8"/>
      <c r="B96" s="9" t="s">
        <v>44</v>
      </c>
      <c r="C96" s="9">
        <v>3.5</v>
      </c>
      <c r="D96" s="9">
        <v>2</v>
      </c>
      <c r="E96" s="9">
        <v>2</v>
      </c>
      <c r="F96" s="10">
        <f t="shared" si="5"/>
        <v>14</v>
      </c>
      <c r="G96" s="10"/>
      <c r="H96" s="10"/>
      <c r="I96" s="10"/>
      <c r="J96" s="14"/>
      <c r="K96" s="14"/>
      <c r="L96" s="22"/>
      <c r="M96" s="47"/>
      <c r="N96" s="41"/>
      <c r="O96" s="22"/>
      <c r="P96" s="22"/>
      <c r="Q96" s="45"/>
      <c r="S96" s="50"/>
      <c r="T96" s="50"/>
      <c r="U96" s="50"/>
      <c r="V96" s="50"/>
    </row>
    <row r="97" spans="1:22" s="2" customFormat="1" hidden="1" outlineLevel="1" x14ac:dyDescent="0.35">
      <c r="A97" s="8"/>
      <c r="B97" s="9"/>
      <c r="C97" s="9"/>
      <c r="D97" s="9"/>
      <c r="E97" s="9"/>
      <c r="F97" s="10">
        <f t="shared" si="5"/>
        <v>0</v>
      </c>
      <c r="G97" s="10"/>
      <c r="H97" s="10"/>
      <c r="I97" s="10"/>
      <c r="J97" s="14"/>
      <c r="K97" s="14"/>
      <c r="L97" s="22"/>
      <c r="M97" s="47"/>
      <c r="N97" s="41"/>
      <c r="O97" s="22"/>
      <c r="P97" s="22"/>
      <c r="Q97" s="45"/>
      <c r="S97" s="50"/>
      <c r="T97" s="50"/>
      <c r="U97" s="50"/>
      <c r="V97" s="50"/>
    </row>
    <row r="98" spans="1:22" s="2" customFormat="1" hidden="1" outlineLevel="1" x14ac:dyDescent="0.35">
      <c r="A98" s="8"/>
      <c r="B98" s="9"/>
      <c r="C98" s="9"/>
      <c r="D98" s="9"/>
      <c r="E98" s="9"/>
      <c r="F98" s="10"/>
      <c r="G98" s="10"/>
      <c r="H98" s="10"/>
      <c r="I98" s="10"/>
      <c r="J98" s="14"/>
      <c r="K98" s="14"/>
      <c r="L98" s="22"/>
      <c r="M98" s="47"/>
      <c r="N98" s="41"/>
      <c r="O98" s="22"/>
      <c r="P98" s="22"/>
      <c r="Q98" s="45"/>
      <c r="S98" s="50"/>
      <c r="T98" s="50"/>
      <c r="U98" s="50"/>
      <c r="V98" s="50"/>
    </row>
    <row r="99" spans="1:22" s="2" customFormat="1" hidden="1" outlineLevel="1" x14ac:dyDescent="0.35">
      <c r="A99" s="8"/>
      <c r="B99" s="9"/>
      <c r="C99" s="9"/>
      <c r="D99" s="9"/>
      <c r="E99" s="9"/>
      <c r="F99" s="10">
        <f>SUM(F89:F98)</f>
        <v>91</v>
      </c>
      <c r="G99" s="10"/>
      <c r="H99" s="10"/>
      <c r="I99" s="10"/>
      <c r="J99" s="14"/>
      <c r="K99" s="14"/>
      <c r="L99" s="22"/>
      <c r="M99" s="47"/>
      <c r="N99" s="41"/>
      <c r="O99" s="22"/>
      <c r="P99" s="22"/>
      <c r="Q99" s="45"/>
      <c r="S99" s="50"/>
      <c r="T99" s="50"/>
      <c r="U99" s="50"/>
      <c r="V99" s="50"/>
    </row>
    <row r="100" spans="1:22" collapsed="1" x14ac:dyDescent="0.35">
      <c r="A100" s="6"/>
      <c r="B100" s="56"/>
      <c r="C100" s="56"/>
      <c r="D100" s="56"/>
      <c r="E100" s="56"/>
      <c r="F100" s="6"/>
      <c r="G100" s="6"/>
      <c r="H100" s="6"/>
      <c r="I100" s="6"/>
      <c r="J100" s="14"/>
      <c r="K100" s="14"/>
      <c r="L100" s="21"/>
      <c r="M100" s="46"/>
      <c r="N100" s="40"/>
      <c r="O100" s="21"/>
      <c r="P100" s="21"/>
      <c r="Q100" s="45"/>
      <c r="S100" s="3"/>
      <c r="T100" s="3"/>
      <c r="U100" s="3"/>
      <c r="V100" s="3"/>
    </row>
    <row r="101" spans="1:22" x14ac:dyDescent="0.35">
      <c r="A101" s="6">
        <f>+A88+1</f>
        <v>9</v>
      </c>
      <c r="B101" s="57" t="s">
        <v>52</v>
      </c>
      <c r="C101" s="57"/>
      <c r="D101" s="57"/>
      <c r="E101" s="57"/>
      <c r="F101" s="58">
        <v>552</v>
      </c>
      <c r="G101" s="6" t="s">
        <v>38</v>
      </c>
      <c r="H101" s="6"/>
      <c r="I101" s="6" t="str">
        <f>+$Q$2</f>
        <v>??</v>
      </c>
      <c r="J101" s="14" t="e">
        <f>+F101*H101*I101</f>
        <v>#VALUE!</v>
      </c>
      <c r="K101" s="14"/>
      <c r="L101" s="21"/>
      <c r="M101" s="46">
        <v>0.1</v>
      </c>
      <c r="N101" s="40">
        <f>+L101*M101</f>
        <v>0</v>
      </c>
      <c r="O101" s="21"/>
      <c r="P101" s="21"/>
      <c r="Q101" s="45">
        <f>+(F101*L101)+(F101*N101)+O101+P101</f>
        <v>0</v>
      </c>
      <c r="S101" s="53" t="e">
        <f>+T101/F101</f>
        <v>#VALUE!</v>
      </c>
      <c r="T101" s="49" t="e">
        <f>+J101+K101+Q101</f>
        <v>#VALUE!</v>
      </c>
      <c r="U101" s="49"/>
      <c r="V101" s="53">
        <f>+F101*H101</f>
        <v>0</v>
      </c>
    </row>
    <row r="102" spans="1:22" s="2" customFormat="1" hidden="1" outlineLevel="1" x14ac:dyDescent="0.35">
      <c r="A102" s="8"/>
      <c r="B102" s="9" t="s">
        <v>43</v>
      </c>
      <c r="C102" s="9">
        <v>3.5</v>
      </c>
      <c r="D102" s="9">
        <v>3</v>
      </c>
      <c r="E102" s="9">
        <v>2</v>
      </c>
      <c r="F102" s="10">
        <f>+C102*D102*E102</f>
        <v>21</v>
      </c>
      <c r="G102" s="10"/>
      <c r="H102" s="10"/>
      <c r="I102" s="10"/>
      <c r="J102" s="14"/>
      <c r="K102" s="14"/>
      <c r="L102" s="22"/>
      <c r="M102" s="47"/>
      <c r="N102" s="41"/>
      <c r="O102" s="22"/>
      <c r="P102" s="22"/>
      <c r="Q102" s="45"/>
      <c r="S102" s="50"/>
      <c r="T102" s="50"/>
      <c r="U102" s="50"/>
      <c r="V102" s="50"/>
    </row>
    <row r="103" spans="1:22" s="2" customFormat="1" hidden="1" outlineLevel="1" x14ac:dyDescent="0.35">
      <c r="A103" s="8"/>
      <c r="B103" s="9"/>
      <c r="C103" s="9">
        <v>3.5</v>
      </c>
      <c r="D103" s="9">
        <v>1</v>
      </c>
      <c r="E103" s="9">
        <v>6</v>
      </c>
      <c r="F103" s="10">
        <f>+C103*D103*E103</f>
        <v>21</v>
      </c>
      <c r="G103" s="10"/>
      <c r="H103" s="10"/>
      <c r="I103" s="10"/>
      <c r="J103" s="14"/>
      <c r="K103" s="14"/>
      <c r="L103" s="22"/>
      <c r="M103" s="47"/>
      <c r="N103" s="41"/>
      <c r="O103" s="22"/>
      <c r="P103" s="22"/>
      <c r="Q103" s="45"/>
      <c r="S103" s="50"/>
      <c r="T103" s="50"/>
      <c r="U103" s="50"/>
      <c r="V103" s="50"/>
    </row>
    <row r="104" spans="1:22" s="2" customFormat="1" hidden="1" outlineLevel="1" x14ac:dyDescent="0.35">
      <c r="A104" s="8"/>
      <c r="B104" s="9" t="s">
        <v>44</v>
      </c>
      <c r="C104" s="9">
        <v>3.5</v>
      </c>
      <c r="D104" s="9">
        <v>2</v>
      </c>
      <c r="E104" s="9">
        <v>3</v>
      </c>
      <c r="F104" s="10">
        <f>+C104*D104*E104</f>
        <v>21</v>
      </c>
      <c r="G104" s="10"/>
      <c r="H104" s="10"/>
      <c r="I104" s="10"/>
      <c r="J104" s="14"/>
      <c r="K104" s="14"/>
      <c r="L104" s="22"/>
      <c r="M104" s="47"/>
      <c r="N104" s="41"/>
      <c r="O104" s="22"/>
      <c r="P104" s="22"/>
      <c r="Q104" s="45"/>
      <c r="S104" s="50"/>
      <c r="T104" s="50"/>
      <c r="U104" s="50"/>
      <c r="V104" s="50"/>
    </row>
    <row r="105" spans="1:22" s="2" customFormat="1" hidden="1" outlineLevel="1" x14ac:dyDescent="0.35">
      <c r="A105" s="8"/>
      <c r="B105" s="9" t="s">
        <v>54</v>
      </c>
      <c r="C105" s="9">
        <v>0.8</v>
      </c>
      <c r="D105" s="9">
        <f>3.5/0.4+1</f>
        <v>9.75</v>
      </c>
      <c r="E105" s="9">
        <v>4</v>
      </c>
      <c r="F105" s="10">
        <f>+C105*D105*E105</f>
        <v>31.200000000000003</v>
      </c>
      <c r="G105" s="10"/>
      <c r="H105" s="10"/>
      <c r="I105" s="10"/>
      <c r="J105" s="14"/>
      <c r="K105" s="14"/>
      <c r="L105" s="22"/>
      <c r="M105" s="47"/>
      <c r="N105" s="41"/>
      <c r="O105" s="22"/>
      <c r="P105" s="22"/>
      <c r="Q105" s="45"/>
      <c r="S105" s="50"/>
      <c r="T105" s="50"/>
      <c r="U105" s="50"/>
      <c r="V105" s="50"/>
    </row>
    <row r="106" spans="1:22" s="2" customFormat="1" hidden="1" outlineLevel="1" x14ac:dyDescent="0.35">
      <c r="A106" s="8"/>
      <c r="B106" s="9"/>
      <c r="C106" s="9">
        <v>0.7</v>
      </c>
      <c r="D106" s="9">
        <f>3.5/0.4+1</f>
        <v>9.75</v>
      </c>
      <c r="E106" s="9">
        <v>1</v>
      </c>
      <c r="F106" s="10">
        <f>+C106*D106*E106</f>
        <v>6.8249999999999993</v>
      </c>
      <c r="G106" s="10"/>
      <c r="H106" s="10"/>
      <c r="I106" s="10"/>
      <c r="J106" s="14"/>
      <c r="K106" s="14"/>
      <c r="L106" s="22"/>
      <c r="M106" s="47"/>
      <c r="N106" s="41"/>
      <c r="O106" s="22"/>
      <c r="P106" s="22"/>
      <c r="Q106" s="45"/>
      <c r="S106" s="50"/>
      <c r="T106" s="50"/>
      <c r="U106" s="50"/>
      <c r="V106" s="50"/>
    </row>
    <row r="107" spans="1:22" s="2" customFormat="1" hidden="1" outlineLevel="1" x14ac:dyDescent="0.35">
      <c r="A107" s="8"/>
      <c r="B107" s="9"/>
      <c r="C107" s="9"/>
      <c r="D107" s="9"/>
      <c r="E107" s="9"/>
      <c r="F107" s="10"/>
      <c r="G107" s="10"/>
      <c r="H107" s="10"/>
      <c r="I107" s="10"/>
      <c r="J107" s="14"/>
      <c r="K107" s="14"/>
      <c r="L107" s="22"/>
      <c r="M107" s="47"/>
      <c r="N107" s="41"/>
      <c r="O107" s="22"/>
      <c r="P107" s="22"/>
      <c r="Q107" s="45"/>
      <c r="S107" s="50"/>
      <c r="T107" s="50"/>
      <c r="U107" s="50"/>
      <c r="V107" s="50"/>
    </row>
    <row r="108" spans="1:22" s="2" customFormat="1" hidden="1" outlineLevel="1" x14ac:dyDescent="0.35">
      <c r="A108" s="8"/>
      <c r="B108" s="67" t="s">
        <v>45</v>
      </c>
      <c r="C108" s="9">
        <v>3.5</v>
      </c>
      <c r="D108" s="9">
        <v>3</v>
      </c>
      <c r="E108" s="9">
        <v>2</v>
      </c>
      <c r="F108" s="10">
        <f>+C108*D108*E108</f>
        <v>21</v>
      </c>
      <c r="G108" s="10"/>
      <c r="H108" s="10"/>
      <c r="I108" s="10"/>
      <c r="J108" s="14"/>
      <c r="K108" s="14"/>
      <c r="L108" s="22"/>
      <c r="M108" s="47"/>
      <c r="N108" s="41"/>
      <c r="O108" s="22"/>
      <c r="P108" s="22"/>
      <c r="Q108" s="45"/>
      <c r="S108" s="50"/>
      <c r="T108" s="50"/>
      <c r="U108" s="50"/>
      <c r="V108" s="50"/>
    </row>
    <row r="109" spans="1:22" s="2" customFormat="1" hidden="1" outlineLevel="1" x14ac:dyDescent="0.35">
      <c r="A109" s="8"/>
      <c r="B109" s="9"/>
      <c r="C109" s="9">
        <v>3.5</v>
      </c>
      <c r="D109" s="9">
        <v>1</v>
      </c>
      <c r="E109" s="9">
        <v>6</v>
      </c>
      <c r="F109" s="10">
        <f>+C109*D109*E109</f>
        <v>21</v>
      </c>
      <c r="G109" s="10"/>
      <c r="H109" s="10"/>
      <c r="I109" s="10"/>
      <c r="J109" s="14"/>
      <c r="K109" s="14"/>
      <c r="L109" s="22"/>
      <c r="M109" s="47"/>
      <c r="N109" s="41"/>
      <c r="O109" s="22"/>
      <c r="P109" s="22"/>
      <c r="Q109" s="45"/>
      <c r="S109" s="50"/>
      <c r="T109" s="50"/>
      <c r="U109" s="50"/>
      <c r="V109" s="50"/>
    </row>
    <row r="110" spans="1:22" s="2" customFormat="1" hidden="1" outlineLevel="1" x14ac:dyDescent="0.35">
      <c r="A110" s="8"/>
      <c r="B110" s="9" t="s">
        <v>44</v>
      </c>
      <c r="C110" s="9">
        <v>3.5</v>
      </c>
      <c r="D110" s="9">
        <v>2</v>
      </c>
      <c r="E110" s="9">
        <v>3</v>
      </c>
      <c r="F110" s="10">
        <f>+C110*D110*E110</f>
        <v>21</v>
      </c>
      <c r="G110" s="10"/>
      <c r="H110" s="10"/>
      <c r="I110" s="10"/>
      <c r="J110" s="14"/>
      <c r="K110" s="14"/>
      <c r="L110" s="22"/>
      <c r="M110" s="47"/>
      <c r="N110" s="41"/>
      <c r="O110" s="22"/>
      <c r="P110" s="22"/>
      <c r="Q110" s="45"/>
      <c r="S110" s="50"/>
      <c r="T110" s="50"/>
      <c r="U110" s="50"/>
      <c r="V110" s="50"/>
    </row>
    <row r="111" spans="1:22" s="2" customFormat="1" hidden="1" outlineLevel="1" x14ac:dyDescent="0.35">
      <c r="A111" s="8"/>
      <c r="B111" s="9" t="s">
        <v>54</v>
      </c>
      <c r="C111" s="9">
        <v>0.8</v>
      </c>
      <c r="D111" s="9">
        <f>3.5/0.4+1</f>
        <v>9.75</v>
      </c>
      <c r="E111" s="9">
        <v>4</v>
      </c>
      <c r="F111" s="10">
        <f>+C111*D111*E111</f>
        <v>31.200000000000003</v>
      </c>
      <c r="G111" s="10"/>
      <c r="H111" s="10"/>
      <c r="I111" s="10"/>
      <c r="J111" s="14"/>
      <c r="K111" s="14"/>
      <c r="L111" s="22"/>
      <c r="M111" s="47"/>
      <c r="N111" s="41"/>
      <c r="O111" s="22"/>
      <c r="P111" s="22"/>
      <c r="Q111" s="45"/>
      <c r="S111" s="50"/>
      <c r="T111" s="50"/>
      <c r="U111" s="50"/>
      <c r="V111" s="50"/>
    </row>
    <row r="112" spans="1:22" s="2" customFormat="1" hidden="1" outlineLevel="1" x14ac:dyDescent="0.35">
      <c r="A112" s="8"/>
      <c r="B112" s="9"/>
      <c r="C112" s="9">
        <v>0.7</v>
      </c>
      <c r="D112" s="9">
        <f>3.5/0.4+1</f>
        <v>9.75</v>
      </c>
      <c r="E112" s="9">
        <v>1</v>
      </c>
      <c r="F112" s="10">
        <f>+C112*D112*E112</f>
        <v>6.8249999999999993</v>
      </c>
      <c r="G112" s="10"/>
      <c r="H112" s="10"/>
      <c r="I112" s="10"/>
      <c r="J112" s="14"/>
      <c r="K112" s="14"/>
      <c r="L112" s="22"/>
      <c r="M112" s="47"/>
      <c r="N112" s="41"/>
      <c r="O112" s="22"/>
      <c r="P112" s="22"/>
      <c r="Q112" s="45"/>
      <c r="S112" s="50"/>
      <c r="T112" s="50"/>
      <c r="U112" s="50"/>
      <c r="V112" s="50"/>
    </row>
    <row r="113" spans="1:22" s="2" customFormat="1" hidden="1" outlineLevel="1" x14ac:dyDescent="0.35">
      <c r="A113" s="8"/>
      <c r="B113" s="9"/>
      <c r="C113" s="9"/>
      <c r="D113" s="9"/>
      <c r="E113" s="9"/>
      <c r="F113" s="10"/>
      <c r="G113" s="10"/>
      <c r="H113" s="10"/>
      <c r="I113" s="10"/>
      <c r="J113" s="14"/>
      <c r="K113" s="14"/>
      <c r="L113" s="22"/>
      <c r="M113" s="47"/>
      <c r="N113" s="41"/>
      <c r="O113" s="22"/>
      <c r="P113" s="22"/>
      <c r="Q113" s="45"/>
      <c r="S113" s="50"/>
      <c r="T113" s="50"/>
      <c r="U113" s="50"/>
      <c r="V113" s="50"/>
    </row>
    <row r="114" spans="1:22" s="2" customFormat="1" hidden="1" outlineLevel="1" x14ac:dyDescent="0.35">
      <c r="A114" s="8"/>
      <c r="B114" s="67" t="s">
        <v>46</v>
      </c>
      <c r="C114" s="9">
        <v>3.5</v>
      </c>
      <c r="D114" s="9">
        <v>3</v>
      </c>
      <c r="E114" s="9">
        <v>2</v>
      </c>
      <c r="F114" s="10">
        <f t="shared" ref="F114:F119" si="6">+C114*D114*E114</f>
        <v>21</v>
      </c>
      <c r="G114" s="10"/>
      <c r="H114" s="10"/>
      <c r="I114" s="10"/>
      <c r="J114" s="14"/>
      <c r="K114" s="14"/>
      <c r="L114" s="22"/>
      <c r="M114" s="47"/>
      <c r="N114" s="41"/>
      <c r="O114" s="22"/>
      <c r="P114" s="22"/>
      <c r="Q114" s="45"/>
      <c r="S114" s="50"/>
      <c r="T114" s="50"/>
      <c r="U114" s="50"/>
      <c r="V114" s="50"/>
    </row>
    <row r="115" spans="1:22" s="2" customFormat="1" hidden="1" outlineLevel="1" x14ac:dyDescent="0.35">
      <c r="A115" s="8"/>
      <c r="B115" s="9"/>
      <c r="C115" s="9">
        <v>3.5</v>
      </c>
      <c r="D115" s="9">
        <v>1</v>
      </c>
      <c r="E115" s="9">
        <v>6</v>
      </c>
      <c r="F115" s="10">
        <f t="shared" si="6"/>
        <v>21</v>
      </c>
      <c r="G115" s="10"/>
      <c r="H115" s="10"/>
      <c r="I115" s="10"/>
      <c r="J115" s="14"/>
      <c r="K115" s="14"/>
      <c r="L115" s="22"/>
      <c r="M115" s="47"/>
      <c r="N115" s="41"/>
      <c r="O115" s="22"/>
      <c r="P115" s="22"/>
      <c r="Q115" s="45"/>
      <c r="S115" s="50"/>
      <c r="T115" s="50"/>
      <c r="U115" s="50"/>
      <c r="V115" s="50"/>
    </row>
    <row r="116" spans="1:22" s="2" customFormat="1" hidden="1" outlineLevel="1" x14ac:dyDescent="0.35">
      <c r="A116" s="8"/>
      <c r="B116" s="9" t="s">
        <v>44</v>
      </c>
      <c r="C116" s="9">
        <v>3.5</v>
      </c>
      <c r="D116" s="9">
        <v>2</v>
      </c>
      <c r="E116" s="9">
        <v>3</v>
      </c>
      <c r="F116" s="10">
        <f t="shared" si="6"/>
        <v>21</v>
      </c>
      <c r="G116" s="10"/>
      <c r="H116" s="10"/>
      <c r="I116" s="10"/>
      <c r="J116" s="14"/>
      <c r="K116" s="14"/>
      <c r="L116" s="22"/>
      <c r="M116" s="47"/>
      <c r="N116" s="41"/>
      <c r="O116" s="22"/>
      <c r="P116" s="22"/>
      <c r="Q116" s="45"/>
      <c r="S116" s="50"/>
      <c r="T116" s="50"/>
      <c r="U116" s="50"/>
      <c r="V116" s="50"/>
    </row>
    <row r="117" spans="1:22" s="2" customFormat="1" hidden="1" outlineLevel="1" x14ac:dyDescent="0.35">
      <c r="A117" s="8"/>
      <c r="B117" s="9" t="s">
        <v>54</v>
      </c>
      <c r="C117" s="9">
        <v>0.8</v>
      </c>
      <c r="D117" s="9">
        <f>3.5/0.4+1</f>
        <v>9.75</v>
      </c>
      <c r="E117" s="9">
        <v>4</v>
      </c>
      <c r="F117" s="10">
        <f t="shared" si="6"/>
        <v>31.200000000000003</v>
      </c>
      <c r="G117" s="10"/>
      <c r="H117" s="10"/>
      <c r="I117" s="10"/>
      <c r="J117" s="14"/>
      <c r="K117" s="14"/>
      <c r="L117" s="22"/>
      <c r="M117" s="47"/>
      <c r="N117" s="41"/>
      <c r="O117" s="22"/>
      <c r="P117" s="22"/>
      <c r="Q117" s="45"/>
      <c r="S117" s="50"/>
      <c r="T117" s="50"/>
      <c r="U117" s="50"/>
      <c r="V117" s="50"/>
    </row>
    <row r="118" spans="1:22" s="2" customFormat="1" hidden="1" outlineLevel="1" x14ac:dyDescent="0.35">
      <c r="A118" s="8"/>
      <c r="B118" s="9"/>
      <c r="C118" s="9">
        <v>0.7</v>
      </c>
      <c r="D118" s="9">
        <f>3.5/0.4+1</f>
        <v>9.75</v>
      </c>
      <c r="E118" s="9">
        <v>1</v>
      </c>
      <c r="F118" s="10">
        <f t="shared" si="6"/>
        <v>6.8249999999999993</v>
      </c>
      <c r="G118" s="10"/>
      <c r="H118" s="10"/>
      <c r="I118" s="10"/>
      <c r="J118" s="14"/>
      <c r="K118" s="14"/>
      <c r="L118" s="22"/>
      <c r="M118" s="47"/>
      <c r="N118" s="41"/>
      <c r="O118" s="22"/>
      <c r="P118" s="22"/>
      <c r="Q118" s="45"/>
      <c r="S118" s="50"/>
      <c r="T118" s="50"/>
      <c r="U118" s="50"/>
      <c r="V118" s="50"/>
    </row>
    <row r="119" spans="1:22" s="2" customFormat="1" hidden="1" outlineLevel="1" x14ac:dyDescent="0.35">
      <c r="A119" s="8"/>
      <c r="B119" s="9"/>
      <c r="C119" s="9"/>
      <c r="D119" s="9">
        <v>1</v>
      </c>
      <c r="E119" s="9">
        <v>1</v>
      </c>
      <c r="F119" s="10">
        <f t="shared" si="6"/>
        <v>0</v>
      </c>
      <c r="G119" s="10"/>
      <c r="H119" s="10"/>
      <c r="I119" s="10"/>
      <c r="J119" s="14"/>
      <c r="K119" s="14"/>
      <c r="L119" s="22"/>
      <c r="M119" s="47"/>
      <c r="N119" s="41"/>
      <c r="O119" s="22"/>
      <c r="P119" s="22"/>
      <c r="Q119" s="45"/>
      <c r="S119" s="50"/>
      <c r="T119" s="50"/>
      <c r="U119" s="50"/>
      <c r="V119" s="50"/>
    </row>
    <row r="120" spans="1:22" s="2" customFormat="1" hidden="1" outlineLevel="1" x14ac:dyDescent="0.35">
      <c r="A120" s="8"/>
      <c r="B120" s="9"/>
      <c r="C120" s="9"/>
      <c r="D120" s="9"/>
      <c r="E120" s="9"/>
      <c r="F120" s="10"/>
      <c r="G120" s="10"/>
      <c r="H120" s="10"/>
      <c r="I120" s="10"/>
      <c r="J120" s="14"/>
      <c r="K120" s="14"/>
      <c r="L120" s="22"/>
      <c r="M120" s="47"/>
      <c r="N120" s="41"/>
      <c r="O120" s="22"/>
      <c r="P120" s="22"/>
      <c r="Q120" s="45"/>
      <c r="S120" s="50"/>
      <c r="T120" s="50"/>
      <c r="U120" s="50"/>
      <c r="V120" s="50"/>
    </row>
    <row r="121" spans="1:22" s="2" customFormat="1" hidden="1" outlineLevel="1" x14ac:dyDescent="0.35">
      <c r="A121" s="8"/>
      <c r="B121" s="9"/>
      <c r="C121" s="9"/>
      <c r="D121" s="9"/>
      <c r="E121" s="9"/>
      <c r="F121" s="10">
        <f>SUM(F102:F120)</f>
        <v>303.07499999999999</v>
      </c>
      <c r="G121" s="10"/>
      <c r="H121" s="10"/>
      <c r="I121" s="10"/>
      <c r="J121" s="14"/>
      <c r="K121" s="14"/>
      <c r="L121" s="22"/>
      <c r="M121" s="47"/>
      <c r="N121" s="41"/>
      <c r="O121" s="22"/>
      <c r="P121" s="22"/>
      <c r="Q121" s="45"/>
      <c r="S121" s="50"/>
      <c r="T121" s="50"/>
      <c r="U121" s="50"/>
      <c r="V121" s="50"/>
    </row>
    <row r="122" spans="1:22" collapsed="1" x14ac:dyDescent="0.35">
      <c r="A122" s="6"/>
      <c r="B122" s="56"/>
      <c r="C122" s="56"/>
      <c r="D122" s="56"/>
      <c r="E122" s="56"/>
      <c r="F122" s="6"/>
      <c r="G122" s="6"/>
      <c r="H122" s="6"/>
      <c r="I122" s="6"/>
      <c r="J122" s="14"/>
      <c r="K122" s="14"/>
      <c r="L122" s="21"/>
      <c r="M122" s="46"/>
      <c r="N122" s="40"/>
      <c r="O122" s="21"/>
      <c r="P122" s="21"/>
      <c r="Q122" s="45"/>
      <c r="S122" s="3"/>
      <c r="T122" s="3"/>
      <c r="U122" s="3"/>
      <c r="V122" s="3"/>
    </row>
    <row r="123" spans="1:22" x14ac:dyDescent="0.35">
      <c r="A123" s="6">
        <f>+A101+1</f>
        <v>10</v>
      </c>
      <c r="B123" s="57" t="s">
        <v>53</v>
      </c>
      <c r="C123" s="57"/>
      <c r="D123" s="57"/>
      <c r="E123" s="57"/>
      <c r="F123" s="58">
        <v>226</v>
      </c>
      <c r="G123" s="6" t="s">
        <v>38</v>
      </c>
      <c r="H123" s="6"/>
      <c r="I123" s="6" t="str">
        <f>+$Q$2</f>
        <v>??</v>
      </c>
      <c r="J123" s="14" t="e">
        <f>+F123*H123*I123</f>
        <v>#VALUE!</v>
      </c>
      <c r="K123" s="14"/>
      <c r="L123" s="21"/>
      <c r="M123" s="46">
        <v>0.1</v>
      </c>
      <c r="N123" s="40">
        <f>+L123*M123</f>
        <v>0</v>
      </c>
      <c r="O123" s="21"/>
      <c r="P123" s="21"/>
      <c r="Q123" s="45">
        <f>+(F123*L123)+(F123*N123)+O123+P123</f>
        <v>0</v>
      </c>
      <c r="S123" s="53" t="e">
        <f>+T123/F123</f>
        <v>#VALUE!</v>
      </c>
      <c r="T123" s="49" t="e">
        <f>+J123+K123+Q123</f>
        <v>#VALUE!</v>
      </c>
      <c r="U123" s="49"/>
      <c r="V123" s="53">
        <f>+F123*H123</f>
        <v>0</v>
      </c>
    </row>
    <row r="124" spans="1:22" s="2" customFormat="1" hidden="1" outlineLevel="1" x14ac:dyDescent="0.35">
      <c r="A124" s="8"/>
      <c r="B124" s="9" t="s">
        <v>43</v>
      </c>
      <c r="C124" s="9">
        <v>3.5</v>
      </c>
      <c r="D124" s="9">
        <v>4</v>
      </c>
      <c r="E124" s="9">
        <v>1</v>
      </c>
      <c r="F124" s="10">
        <f t="shared" ref="F124:F134" si="7">+C124*D124*E124</f>
        <v>14</v>
      </c>
      <c r="G124" s="10"/>
      <c r="H124" s="10"/>
      <c r="I124" s="10"/>
      <c r="J124" s="14"/>
      <c r="K124" s="14"/>
      <c r="L124" s="22"/>
      <c r="M124" s="47"/>
      <c r="N124" s="41"/>
      <c r="O124" s="22"/>
      <c r="P124" s="22"/>
      <c r="Q124" s="45"/>
      <c r="S124" s="50"/>
      <c r="T124" s="50"/>
      <c r="U124" s="50"/>
      <c r="V124" s="50"/>
    </row>
    <row r="125" spans="1:22" s="2" customFormat="1" hidden="1" outlineLevel="1" x14ac:dyDescent="0.35">
      <c r="A125" s="8"/>
      <c r="B125" s="9"/>
      <c r="C125" s="9">
        <v>3.5</v>
      </c>
      <c r="D125" s="9">
        <v>1</v>
      </c>
      <c r="E125" s="9">
        <v>2</v>
      </c>
      <c r="F125" s="10">
        <f t="shared" si="7"/>
        <v>7</v>
      </c>
      <c r="G125" s="10"/>
      <c r="H125" s="10"/>
      <c r="I125" s="10"/>
      <c r="J125" s="14"/>
      <c r="K125" s="14"/>
      <c r="L125" s="22"/>
      <c r="M125" s="47"/>
      <c r="N125" s="41"/>
      <c r="O125" s="22"/>
      <c r="P125" s="22"/>
      <c r="Q125" s="45"/>
      <c r="S125" s="50"/>
      <c r="T125" s="50"/>
      <c r="U125" s="50"/>
      <c r="V125" s="50"/>
    </row>
    <row r="126" spans="1:22" s="2" customFormat="1" hidden="1" outlineLevel="1" x14ac:dyDescent="0.35">
      <c r="A126" s="8"/>
      <c r="B126" s="9" t="s">
        <v>44</v>
      </c>
      <c r="C126" s="9">
        <v>3.5</v>
      </c>
      <c r="D126" s="9">
        <v>1</v>
      </c>
      <c r="E126" s="9">
        <v>2</v>
      </c>
      <c r="F126" s="10">
        <f t="shared" si="7"/>
        <v>7</v>
      </c>
      <c r="G126" s="10"/>
      <c r="H126" s="10"/>
      <c r="I126" s="10"/>
      <c r="J126" s="14"/>
      <c r="K126" s="14"/>
      <c r="L126" s="22"/>
      <c r="M126" s="47"/>
      <c r="N126" s="41"/>
      <c r="O126" s="22"/>
      <c r="P126" s="22"/>
      <c r="Q126" s="45"/>
      <c r="S126" s="50"/>
      <c r="T126" s="50"/>
      <c r="U126" s="50"/>
      <c r="V126" s="50"/>
    </row>
    <row r="127" spans="1:22" s="2" customFormat="1" hidden="1" outlineLevel="1" x14ac:dyDescent="0.35">
      <c r="A127" s="8"/>
      <c r="B127" s="9" t="s">
        <v>54</v>
      </c>
      <c r="C127" s="9">
        <v>1.2</v>
      </c>
      <c r="D127" s="9">
        <f>3.5/0.4+1</f>
        <v>9.75</v>
      </c>
      <c r="E127" s="9">
        <v>1</v>
      </c>
      <c r="F127" s="10">
        <f t="shared" si="7"/>
        <v>11.7</v>
      </c>
      <c r="G127" s="10"/>
      <c r="H127" s="10"/>
      <c r="I127" s="10"/>
      <c r="J127" s="14"/>
      <c r="K127" s="14"/>
      <c r="L127" s="22"/>
      <c r="M127" s="47"/>
      <c r="N127" s="41"/>
      <c r="O127" s="22"/>
      <c r="P127" s="22"/>
      <c r="Q127" s="45"/>
      <c r="S127" s="50"/>
      <c r="T127" s="50"/>
      <c r="U127" s="50"/>
      <c r="V127" s="50"/>
    </row>
    <row r="128" spans="1:22" s="2" customFormat="1" hidden="1" outlineLevel="1" x14ac:dyDescent="0.35">
      <c r="A128" s="8"/>
      <c r="B128" s="9"/>
      <c r="C128" s="9">
        <v>0.35</v>
      </c>
      <c r="D128" s="9">
        <f>3.5/0.4+1</f>
        <v>9.75</v>
      </c>
      <c r="E128" s="9">
        <v>4</v>
      </c>
      <c r="F128" s="10">
        <f t="shared" si="7"/>
        <v>13.649999999999999</v>
      </c>
      <c r="G128" s="10"/>
      <c r="H128" s="10"/>
      <c r="I128" s="10"/>
      <c r="J128" s="14"/>
      <c r="K128" s="14"/>
      <c r="L128" s="22"/>
      <c r="M128" s="47"/>
      <c r="N128" s="41"/>
      <c r="O128" s="22"/>
      <c r="P128" s="22"/>
      <c r="Q128" s="45"/>
      <c r="S128" s="50"/>
      <c r="T128" s="50"/>
      <c r="U128" s="50"/>
      <c r="V128" s="50"/>
    </row>
    <row r="129" spans="1:22" s="2" customFormat="1" hidden="1" outlineLevel="1" x14ac:dyDescent="0.35">
      <c r="A129" s="8"/>
      <c r="B129" s="9"/>
      <c r="C129" s="9"/>
      <c r="D129" s="9"/>
      <c r="E129" s="9"/>
      <c r="F129" s="10">
        <f t="shared" si="7"/>
        <v>0</v>
      </c>
      <c r="G129" s="10"/>
      <c r="H129" s="10"/>
      <c r="I129" s="10"/>
      <c r="J129" s="14"/>
      <c r="K129" s="14"/>
      <c r="L129" s="22"/>
      <c r="M129" s="47"/>
      <c r="N129" s="41"/>
      <c r="O129" s="22"/>
      <c r="P129" s="22"/>
      <c r="Q129" s="45"/>
      <c r="S129" s="50"/>
      <c r="T129" s="50"/>
      <c r="U129" s="50"/>
      <c r="V129" s="50"/>
    </row>
    <row r="130" spans="1:22" s="2" customFormat="1" hidden="1" outlineLevel="1" x14ac:dyDescent="0.35">
      <c r="A130" s="8"/>
      <c r="B130" s="67" t="s">
        <v>45</v>
      </c>
      <c r="C130" s="9">
        <v>3.5</v>
      </c>
      <c r="D130" s="9">
        <v>4</v>
      </c>
      <c r="E130" s="9">
        <v>1</v>
      </c>
      <c r="F130" s="10">
        <f t="shared" si="7"/>
        <v>14</v>
      </c>
      <c r="G130" s="10"/>
      <c r="H130" s="10"/>
      <c r="I130" s="10"/>
      <c r="J130" s="14"/>
      <c r="K130" s="14"/>
      <c r="L130" s="22"/>
      <c r="M130" s="47"/>
      <c r="N130" s="41"/>
      <c r="O130" s="22"/>
      <c r="P130" s="22"/>
      <c r="Q130" s="45"/>
      <c r="S130" s="50"/>
      <c r="T130" s="50"/>
      <c r="U130" s="50"/>
      <c r="V130" s="50"/>
    </row>
    <row r="131" spans="1:22" s="2" customFormat="1" hidden="1" outlineLevel="1" x14ac:dyDescent="0.35">
      <c r="A131" s="8"/>
      <c r="B131" s="9"/>
      <c r="C131" s="9">
        <v>3.5</v>
      </c>
      <c r="D131" s="9">
        <v>1</v>
      </c>
      <c r="E131" s="9">
        <v>2</v>
      </c>
      <c r="F131" s="10">
        <f t="shared" si="7"/>
        <v>7</v>
      </c>
      <c r="G131" s="10"/>
      <c r="H131" s="10"/>
      <c r="I131" s="10"/>
      <c r="J131" s="14"/>
      <c r="K131" s="14"/>
      <c r="L131" s="22"/>
      <c r="M131" s="47"/>
      <c r="N131" s="41"/>
      <c r="O131" s="22"/>
      <c r="P131" s="22"/>
      <c r="Q131" s="45"/>
      <c r="S131" s="50"/>
      <c r="T131" s="50"/>
      <c r="U131" s="50"/>
      <c r="V131" s="50"/>
    </row>
    <row r="132" spans="1:22" s="2" customFormat="1" hidden="1" outlineLevel="1" x14ac:dyDescent="0.35">
      <c r="A132" s="8"/>
      <c r="B132" s="9" t="s">
        <v>44</v>
      </c>
      <c r="C132" s="9">
        <v>3.5</v>
      </c>
      <c r="D132" s="9">
        <v>1</v>
      </c>
      <c r="E132" s="9">
        <v>2</v>
      </c>
      <c r="F132" s="10">
        <f t="shared" si="7"/>
        <v>7</v>
      </c>
      <c r="G132" s="10"/>
      <c r="H132" s="10"/>
      <c r="I132" s="10"/>
      <c r="J132" s="14"/>
      <c r="K132" s="14"/>
      <c r="L132" s="22"/>
      <c r="M132" s="47"/>
      <c r="N132" s="41"/>
      <c r="O132" s="22"/>
      <c r="P132" s="22"/>
      <c r="Q132" s="45"/>
      <c r="S132" s="50"/>
      <c r="T132" s="50"/>
      <c r="U132" s="50"/>
      <c r="V132" s="50"/>
    </row>
    <row r="133" spans="1:22" s="2" customFormat="1" hidden="1" outlineLevel="1" x14ac:dyDescent="0.35">
      <c r="A133" s="8"/>
      <c r="B133" s="9" t="s">
        <v>54</v>
      </c>
      <c r="C133" s="9">
        <v>1.2</v>
      </c>
      <c r="D133" s="9">
        <f>3.5/0.4+1</f>
        <v>9.75</v>
      </c>
      <c r="E133" s="9">
        <v>1</v>
      </c>
      <c r="F133" s="10">
        <f t="shared" si="7"/>
        <v>11.7</v>
      </c>
      <c r="G133" s="10"/>
      <c r="H133" s="10"/>
      <c r="I133" s="10"/>
      <c r="J133" s="14"/>
      <c r="K133" s="14"/>
      <c r="L133" s="22"/>
      <c r="M133" s="47"/>
      <c r="N133" s="41"/>
      <c r="O133" s="22"/>
      <c r="P133" s="22"/>
      <c r="Q133" s="45"/>
      <c r="S133" s="50"/>
      <c r="T133" s="50"/>
      <c r="U133" s="50"/>
      <c r="V133" s="50"/>
    </row>
    <row r="134" spans="1:22" s="2" customFormat="1" hidden="1" outlineLevel="1" x14ac:dyDescent="0.35">
      <c r="A134" s="8"/>
      <c r="B134" s="9"/>
      <c r="C134" s="9">
        <v>0.35</v>
      </c>
      <c r="D134" s="9">
        <f>3.5/0.4+1</f>
        <v>9.75</v>
      </c>
      <c r="E134" s="9">
        <v>4</v>
      </c>
      <c r="F134" s="10">
        <f t="shared" si="7"/>
        <v>13.649999999999999</v>
      </c>
      <c r="G134" s="10"/>
      <c r="H134" s="10"/>
      <c r="I134" s="10"/>
      <c r="J134" s="14"/>
      <c r="K134" s="14"/>
      <c r="L134" s="22"/>
      <c r="M134" s="47"/>
      <c r="N134" s="41"/>
      <c r="O134" s="22"/>
      <c r="P134" s="22"/>
      <c r="Q134" s="45"/>
      <c r="S134" s="50"/>
      <c r="T134" s="50"/>
      <c r="U134" s="50"/>
      <c r="V134" s="50"/>
    </row>
    <row r="135" spans="1:22" s="2" customFormat="1" hidden="1" outlineLevel="1" x14ac:dyDescent="0.35">
      <c r="A135" s="8"/>
      <c r="B135" s="9"/>
      <c r="C135" s="9"/>
      <c r="D135" s="9"/>
      <c r="E135" s="9"/>
      <c r="F135" s="10"/>
      <c r="G135" s="10"/>
      <c r="H135" s="10"/>
      <c r="I135" s="10"/>
      <c r="J135" s="14"/>
      <c r="K135" s="14"/>
      <c r="L135" s="22"/>
      <c r="M135" s="47"/>
      <c r="N135" s="41"/>
      <c r="O135" s="22"/>
      <c r="P135" s="22"/>
      <c r="Q135" s="45"/>
      <c r="S135" s="50"/>
      <c r="T135" s="50"/>
      <c r="U135" s="50"/>
      <c r="V135" s="50"/>
    </row>
    <row r="136" spans="1:22" s="2" customFormat="1" hidden="1" outlineLevel="1" x14ac:dyDescent="0.35">
      <c r="A136" s="8"/>
      <c r="B136" s="67" t="s">
        <v>46</v>
      </c>
      <c r="C136" s="9">
        <v>3.5</v>
      </c>
      <c r="D136" s="9">
        <v>4</v>
      </c>
      <c r="E136" s="9">
        <v>1</v>
      </c>
      <c r="F136" s="10">
        <f t="shared" ref="F136:F141" si="8">+C136*D136*E136</f>
        <v>14</v>
      </c>
      <c r="G136" s="10"/>
      <c r="H136" s="10"/>
      <c r="I136" s="10"/>
      <c r="J136" s="14"/>
      <c r="K136" s="14"/>
      <c r="L136" s="22"/>
      <c r="M136" s="47"/>
      <c r="N136" s="41"/>
      <c r="O136" s="22"/>
      <c r="P136" s="22"/>
      <c r="Q136" s="45"/>
      <c r="S136" s="50"/>
      <c r="T136" s="50"/>
      <c r="U136" s="50"/>
      <c r="V136" s="50"/>
    </row>
    <row r="137" spans="1:22" s="2" customFormat="1" hidden="1" outlineLevel="1" x14ac:dyDescent="0.35">
      <c r="A137" s="8"/>
      <c r="B137" s="9"/>
      <c r="C137" s="9">
        <v>3.5</v>
      </c>
      <c r="D137" s="9">
        <v>1</v>
      </c>
      <c r="E137" s="9">
        <v>2</v>
      </c>
      <c r="F137" s="10">
        <f t="shared" si="8"/>
        <v>7</v>
      </c>
      <c r="G137" s="10"/>
      <c r="H137" s="10"/>
      <c r="I137" s="10"/>
      <c r="J137" s="14"/>
      <c r="K137" s="14"/>
      <c r="L137" s="22"/>
      <c r="M137" s="47"/>
      <c r="N137" s="41"/>
      <c r="O137" s="22"/>
      <c r="P137" s="22"/>
      <c r="Q137" s="45"/>
      <c r="S137" s="50"/>
      <c r="T137" s="50"/>
      <c r="U137" s="50"/>
      <c r="V137" s="50"/>
    </row>
    <row r="138" spans="1:22" s="2" customFormat="1" hidden="1" outlineLevel="1" x14ac:dyDescent="0.35">
      <c r="A138" s="8"/>
      <c r="B138" s="9" t="s">
        <v>44</v>
      </c>
      <c r="C138" s="9">
        <v>3.5</v>
      </c>
      <c r="D138" s="9">
        <v>1</v>
      </c>
      <c r="E138" s="9">
        <v>2</v>
      </c>
      <c r="F138" s="10">
        <f t="shared" si="8"/>
        <v>7</v>
      </c>
      <c r="G138" s="10"/>
      <c r="H138" s="10"/>
      <c r="I138" s="10"/>
      <c r="J138" s="14"/>
      <c r="K138" s="14"/>
      <c r="L138" s="22"/>
      <c r="M138" s="47"/>
      <c r="N138" s="41"/>
      <c r="O138" s="22"/>
      <c r="P138" s="22"/>
      <c r="Q138" s="45"/>
      <c r="S138" s="50"/>
      <c r="T138" s="50"/>
      <c r="U138" s="50"/>
      <c r="V138" s="50"/>
    </row>
    <row r="139" spans="1:22" s="2" customFormat="1" hidden="1" outlineLevel="1" x14ac:dyDescent="0.35">
      <c r="A139" s="8"/>
      <c r="B139" s="9" t="s">
        <v>54</v>
      </c>
      <c r="C139" s="9">
        <v>1.2</v>
      </c>
      <c r="D139" s="9">
        <f>3.5/0.4+1</f>
        <v>9.75</v>
      </c>
      <c r="E139" s="9">
        <v>1</v>
      </c>
      <c r="F139" s="10">
        <f t="shared" si="8"/>
        <v>11.7</v>
      </c>
      <c r="G139" s="10"/>
      <c r="H139" s="10"/>
      <c r="I139" s="10"/>
      <c r="J139" s="14"/>
      <c r="K139" s="14"/>
      <c r="L139" s="22"/>
      <c r="M139" s="47"/>
      <c r="N139" s="41"/>
      <c r="O139" s="22"/>
      <c r="P139" s="22"/>
      <c r="Q139" s="45"/>
      <c r="S139" s="50"/>
      <c r="T139" s="50"/>
      <c r="U139" s="50"/>
      <c r="V139" s="50"/>
    </row>
    <row r="140" spans="1:22" s="2" customFormat="1" hidden="1" outlineLevel="1" x14ac:dyDescent="0.35">
      <c r="A140" s="8"/>
      <c r="B140" s="9"/>
      <c r="C140" s="9">
        <v>0.35</v>
      </c>
      <c r="D140" s="9">
        <f>3.5/0.4+1</f>
        <v>9.75</v>
      </c>
      <c r="E140" s="9">
        <v>4</v>
      </c>
      <c r="F140" s="10">
        <f t="shared" si="8"/>
        <v>13.649999999999999</v>
      </c>
      <c r="G140" s="10"/>
      <c r="H140" s="10"/>
      <c r="I140" s="10"/>
      <c r="J140" s="14"/>
      <c r="K140" s="14"/>
      <c r="L140" s="22"/>
      <c r="M140" s="47"/>
      <c r="N140" s="41"/>
      <c r="O140" s="22"/>
      <c r="P140" s="22"/>
      <c r="Q140" s="45"/>
      <c r="S140" s="50"/>
      <c r="T140" s="50"/>
      <c r="U140" s="50"/>
      <c r="V140" s="50"/>
    </row>
    <row r="141" spans="1:22" s="2" customFormat="1" hidden="1" outlineLevel="1" x14ac:dyDescent="0.35">
      <c r="A141" s="8"/>
      <c r="B141" s="9"/>
      <c r="C141" s="9"/>
      <c r="D141" s="9">
        <v>1</v>
      </c>
      <c r="E141" s="9">
        <v>1</v>
      </c>
      <c r="F141" s="10">
        <f t="shared" si="8"/>
        <v>0</v>
      </c>
      <c r="G141" s="10"/>
      <c r="H141" s="10"/>
      <c r="I141" s="10"/>
      <c r="J141" s="14"/>
      <c r="K141" s="14"/>
      <c r="L141" s="22"/>
      <c r="M141" s="47"/>
      <c r="N141" s="41"/>
      <c r="O141" s="22"/>
      <c r="P141" s="22"/>
      <c r="Q141" s="45"/>
      <c r="S141" s="50"/>
      <c r="T141" s="50"/>
      <c r="U141" s="50"/>
      <c r="V141" s="50"/>
    </row>
    <row r="142" spans="1:22" s="2" customFormat="1" hidden="1" outlineLevel="1" x14ac:dyDescent="0.35">
      <c r="A142" s="8"/>
      <c r="B142" s="9"/>
      <c r="C142" s="9"/>
      <c r="D142" s="9"/>
      <c r="E142" s="9"/>
      <c r="F142" s="10"/>
      <c r="G142" s="10"/>
      <c r="H142" s="10"/>
      <c r="I142" s="10"/>
      <c r="J142" s="14"/>
      <c r="K142" s="14"/>
      <c r="L142" s="22"/>
      <c r="M142" s="47"/>
      <c r="N142" s="41"/>
      <c r="O142" s="22"/>
      <c r="P142" s="22"/>
      <c r="Q142" s="45"/>
      <c r="S142" s="50"/>
      <c r="T142" s="50"/>
      <c r="U142" s="50"/>
      <c r="V142" s="50"/>
    </row>
    <row r="143" spans="1:22" s="2" customFormat="1" hidden="1" outlineLevel="1" x14ac:dyDescent="0.35">
      <c r="A143" s="8"/>
      <c r="B143" s="9"/>
      <c r="C143" s="9"/>
      <c r="D143" s="9"/>
      <c r="E143" s="9"/>
      <c r="F143" s="10">
        <f>SUM(F124:F142)</f>
        <v>160.04999999999998</v>
      </c>
      <c r="G143" s="10"/>
      <c r="H143" s="10"/>
      <c r="I143" s="10"/>
      <c r="J143" s="14"/>
      <c r="K143" s="14"/>
      <c r="L143" s="22"/>
      <c r="M143" s="47"/>
      <c r="N143" s="41"/>
      <c r="O143" s="22"/>
      <c r="P143" s="22"/>
      <c r="Q143" s="45"/>
      <c r="S143" s="50"/>
      <c r="T143" s="50"/>
      <c r="U143" s="50"/>
      <c r="V143" s="50"/>
    </row>
    <row r="144" spans="1:22" collapsed="1" x14ac:dyDescent="0.35">
      <c r="A144" s="6"/>
      <c r="B144" s="56"/>
      <c r="C144" s="56"/>
      <c r="D144" s="56"/>
      <c r="E144" s="56"/>
      <c r="F144" s="6"/>
      <c r="G144" s="6"/>
      <c r="H144" s="6"/>
      <c r="I144" s="6"/>
      <c r="J144" s="14"/>
      <c r="K144" s="14"/>
      <c r="L144" s="21"/>
      <c r="M144" s="46"/>
      <c r="N144" s="40"/>
      <c r="O144" s="21"/>
      <c r="P144" s="21"/>
      <c r="Q144" s="45"/>
      <c r="S144" s="3"/>
      <c r="T144" s="3"/>
      <c r="U144" s="3"/>
      <c r="V144" s="3"/>
    </row>
    <row r="145" spans="1:22" x14ac:dyDescent="0.35">
      <c r="A145" s="6">
        <f>+A123+1</f>
        <v>11</v>
      </c>
      <c r="B145" s="57" t="s">
        <v>55</v>
      </c>
      <c r="C145" s="57"/>
      <c r="D145" s="57"/>
      <c r="E145" s="57"/>
      <c r="F145" s="58">
        <v>45</v>
      </c>
      <c r="G145" s="6" t="s">
        <v>38</v>
      </c>
      <c r="H145" s="6"/>
      <c r="I145" s="6" t="str">
        <f>+$Q$2</f>
        <v>??</v>
      </c>
      <c r="J145" s="14" t="e">
        <f>+F145*H145*I145</f>
        <v>#VALUE!</v>
      </c>
      <c r="K145" s="14"/>
      <c r="L145" s="21"/>
      <c r="M145" s="46">
        <v>0.1</v>
      </c>
      <c r="N145" s="40">
        <f>+L145*M145</f>
        <v>0</v>
      </c>
      <c r="O145" s="21"/>
      <c r="P145" s="21"/>
      <c r="Q145" s="45">
        <f>+(F145*L145)+(F145*N145)+O145+P145</f>
        <v>0</v>
      </c>
      <c r="S145" s="53" t="e">
        <f>+T145/F145</f>
        <v>#VALUE!</v>
      </c>
      <c r="T145" s="49" t="e">
        <f>+J145+K145+Q145</f>
        <v>#VALUE!</v>
      </c>
      <c r="U145" s="49"/>
      <c r="V145" s="53">
        <f>+F145*H145</f>
        <v>0</v>
      </c>
    </row>
    <row r="146" spans="1:22" s="2" customFormat="1" hidden="1" outlineLevel="1" x14ac:dyDescent="0.35">
      <c r="A146" s="8"/>
      <c r="B146" s="9" t="s">
        <v>43</v>
      </c>
      <c r="C146" s="9">
        <v>3.5</v>
      </c>
      <c r="D146" s="9">
        <v>1</v>
      </c>
      <c r="E146" s="9">
        <v>3</v>
      </c>
      <c r="F146" s="10">
        <f>+C146*D146*E146</f>
        <v>10.5</v>
      </c>
      <c r="G146" s="10"/>
      <c r="H146" s="10"/>
      <c r="I146" s="10"/>
      <c r="J146" s="14"/>
      <c r="K146" s="14"/>
      <c r="L146" s="22"/>
      <c r="M146" s="47"/>
      <c r="N146" s="41"/>
      <c r="O146" s="22"/>
      <c r="P146" s="22"/>
      <c r="Q146" s="45"/>
      <c r="S146" s="50"/>
      <c r="T146" s="50"/>
      <c r="U146" s="50"/>
      <c r="V146" s="50"/>
    </row>
    <row r="147" spans="1:22" s="2" customFormat="1" hidden="1" outlineLevel="1" x14ac:dyDescent="0.35">
      <c r="A147" s="8"/>
      <c r="B147" s="9"/>
      <c r="C147" s="9"/>
      <c r="D147" s="9"/>
      <c r="E147" s="9"/>
      <c r="F147" s="10">
        <f>+C147*D147*E147</f>
        <v>0</v>
      </c>
      <c r="G147" s="10"/>
      <c r="H147" s="10"/>
      <c r="I147" s="10"/>
      <c r="J147" s="14"/>
      <c r="K147" s="14"/>
      <c r="L147" s="22"/>
      <c r="M147" s="47"/>
      <c r="N147" s="41"/>
      <c r="O147" s="22"/>
      <c r="P147" s="22"/>
      <c r="Q147" s="45"/>
      <c r="S147" s="50"/>
      <c r="T147" s="50"/>
      <c r="U147" s="50"/>
      <c r="V147" s="50"/>
    </row>
    <row r="148" spans="1:22" s="2" customFormat="1" hidden="1" outlineLevel="1" x14ac:dyDescent="0.35">
      <c r="A148" s="8"/>
      <c r="B148" s="67" t="s">
        <v>45</v>
      </c>
      <c r="C148" s="9">
        <v>3.5</v>
      </c>
      <c r="D148" s="9">
        <v>1</v>
      </c>
      <c r="E148" s="9">
        <v>3</v>
      </c>
      <c r="F148" s="10">
        <f>+C148*D148*E148</f>
        <v>10.5</v>
      </c>
      <c r="G148" s="10"/>
      <c r="H148" s="10"/>
      <c r="I148" s="10"/>
      <c r="J148" s="14"/>
      <c r="K148" s="14"/>
      <c r="L148" s="22"/>
      <c r="M148" s="47"/>
      <c r="N148" s="41"/>
      <c r="O148" s="22"/>
      <c r="P148" s="22"/>
      <c r="Q148" s="45"/>
      <c r="S148" s="50"/>
      <c r="T148" s="50"/>
      <c r="U148" s="50"/>
      <c r="V148" s="50"/>
    </row>
    <row r="149" spans="1:22" s="2" customFormat="1" hidden="1" outlineLevel="1" x14ac:dyDescent="0.35">
      <c r="A149" s="8"/>
      <c r="B149" s="9"/>
      <c r="C149" s="9"/>
      <c r="D149" s="9"/>
      <c r="E149" s="9"/>
      <c r="F149" s="10"/>
      <c r="G149" s="10"/>
      <c r="H149" s="10"/>
      <c r="I149" s="10"/>
      <c r="J149" s="14"/>
      <c r="K149" s="14"/>
      <c r="L149" s="22"/>
      <c r="M149" s="47"/>
      <c r="N149" s="41"/>
      <c r="O149" s="22"/>
      <c r="P149" s="22"/>
      <c r="Q149" s="45"/>
      <c r="S149" s="50"/>
      <c r="T149" s="50"/>
      <c r="U149" s="50"/>
      <c r="V149" s="50"/>
    </row>
    <row r="150" spans="1:22" s="2" customFormat="1" hidden="1" outlineLevel="1" x14ac:dyDescent="0.35">
      <c r="A150" s="8"/>
      <c r="B150" s="67" t="s">
        <v>46</v>
      </c>
      <c r="C150" s="9">
        <v>3.5</v>
      </c>
      <c r="D150" s="9">
        <v>1</v>
      </c>
      <c r="E150" s="9">
        <v>3</v>
      </c>
      <c r="F150" s="10">
        <f>+C150*D150*E150</f>
        <v>10.5</v>
      </c>
      <c r="G150" s="10"/>
      <c r="H150" s="10"/>
      <c r="I150" s="10"/>
      <c r="J150" s="14"/>
      <c r="K150" s="14"/>
      <c r="L150" s="22"/>
      <c r="M150" s="47"/>
      <c r="N150" s="41"/>
      <c r="O150" s="22"/>
      <c r="P150" s="22"/>
      <c r="Q150" s="45"/>
      <c r="S150" s="50"/>
      <c r="T150" s="50"/>
      <c r="U150" s="50"/>
      <c r="V150" s="50"/>
    </row>
    <row r="151" spans="1:22" s="2" customFormat="1" hidden="1" outlineLevel="1" x14ac:dyDescent="0.35">
      <c r="A151" s="8"/>
      <c r="B151" s="9"/>
      <c r="C151" s="9"/>
      <c r="D151" s="9"/>
      <c r="E151" s="9">
        <v>1</v>
      </c>
      <c r="F151" s="10">
        <f>+C151*D151*E151</f>
        <v>0</v>
      </c>
      <c r="G151" s="10"/>
      <c r="H151" s="10"/>
      <c r="I151" s="10"/>
      <c r="J151" s="14"/>
      <c r="K151" s="14"/>
      <c r="L151" s="22"/>
      <c r="M151" s="47"/>
      <c r="N151" s="41"/>
      <c r="O151" s="22"/>
      <c r="P151" s="22"/>
      <c r="Q151" s="45"/>
      <c r="S151" s="50"/>
      <c r="T151" s="50"/>
      <c r="U151" s="50"/>
      <c r="V151" s="50"/>
    </row>
    <row r="152" spans="1:22" s="2" customFormat="1" hidden="1" outlineLevel="1" x14ac:dyDescent="0.35">
      <c r="A152" s="8"/>
      <c r="B152" s="9"/>
      <c r="C152" s="9"/>
      <c r="D152" s="9"/>
      <c r="E152" s="9"/>
      <c r="F152" s="10"/>
      <c r="G152" s="10"/>
      <c r="H152" s="10"/>
      <c r="I152" s="10"/>
      <c r="J152" s="14"/>
      <c r="K152" s="14"/>
      <c r="L152" s="22"/>
      <c r="M152" s="47"/>
      <c r="N152" s="41"/>
      <c r="O152" s="22"/>
      <c r="P152" s="22"/>
      <c r="Q152" s="45"/>
      <c r="S152" s="50"/>
      <c r="T152" s="50"/>
      <c r="U152" s="50"/>
      <c r="V152" s="50"/>
    </row>
    <row r="153" spans="1:22" s="2" customFormat="1" hidden="1" outlineLevel="1" x14ac:dyDescent="0.35">
      <c r="A153" s="8"/>
      <c r="B153" s="9"/>
      <c r="C153" s="9"/>
      <c r="D153" s="9"/>
      <c r="E153" s="9"/>
      <c r="F153" s="10">
        <f>SUM(F146:F152)</f>
        <v>31.5</v>
      </c>
      <c r="G153" s="10"/>
      <c r="H153" s="10"/>
      <c r="I153" s="10"/>
      <c r="J153" s="14"/>
      <c r="K153" s="14"/>
      <c r="L153" s="22"/>
      <c r="M153" s="47"/>
      <c r="N153" s="41"/>
      <c r="O153" s="22"/>
      <c r="P153" s="22"/>
      <c r="Q153" s="45"/>
      <c r="S153" s="50"/>
      <c r="T153" s="50"/>
      <c r="U153" s="50"/>
      <c r="V153" s="50"/>
    </row>
    <row r="154" spans="1:22" collapsed="1" x14ac:dyDescent="0.35">
      <c r="A154" s="6"/>
      <c r="B154" s="56"/>
      <c r="C154" s="56"/>
      <c r="D154" s="56"/>
      <c r="E154" s="56"/>
      <c r="F154" s="6"/>
      <c r="G154" s="6"/>
      <c r="H154" s="6"/>
      <c r="I154" s="6"/>
      <c r="J154" s="14"/>
      <c r="K154" s="14"/>
      <c r="L154" s="21"/>
      <c r="M154" s="46"/>
      <c r="N154" s="40"/>
      <c r="O154" s="21"/>
      <c r="P154" s="21"/>
      <c r="Q154" s="45"/>
      <c r="S154" s="3"/>
      <c r="T154" s="3"/>
      <c r="U154" s="3"/>
      <c r="V154" s="3"/>
    </row>
    <row r="155" spans="1:22" x14ac:dyDescent="0.35">
      <c r="A155" s="6">
        <f>+A145+1</f>
        <v>12</v>
      </c>
      <c r="B155" s="57" t="s">
        <v>85</v>
      </c>
      <c r="C155" s="57"/>
      <c r="D155" s="57"/>
      <c r="E155" s="57"/>
      <c r="F155" s="58">
        <f>+F19</f>
        <v>299</v>
      </c>
      <c r="G155" s="6" t="s">
        <v>38</v>
      </c>
      <c r="H155" s="6"/>
      <c r="I155" s="6" t="str">
        <f>+$Q$2</f>
        <v>??</v>
      </c>
      <c r="J155" s="14" t="e">
        <f>+F155*H155*I155</f>
        <v>#VALUE!</v>
      </c>
      <c r="K155" s="14"/>
      <c r="L155" s="21"/>
      <c r="M155" s="46">
        <v>0.1</v>
      </c>
      <c r="N155" s="40">
        <f>+L155*M155</f>
        <v>0</v>
      </c>
      <c r="O155" s="21"/>
      <c r="P155" s="21"/>
      <c r="Q155" s="45">
        <f>+(F155*L155)+(F155*N155)+O155+P155</f>
        <v>0</v>
      </c>
      <c r="S155" s="53" t="e">
        <f>+T155/F155</f>
        <v>#VALUE!</v>
      </c>
      <c r="T155" s="49" t="e">
        <f>+J155+K155+Q155</f>
        <v>#VALUE!</v>
      </c>
      <c r="U155" s="49"/>
      <c r="V155" s="53">
        <f>+F155*H155</f>
        <v>0</v>
      </c>
    </row>
    <row r="156" spans="1:22" x14ac:dyDescent="0.35">
      <c r="A156" s="6"/>
      <c r="B156" s="56"/>
      <c r="C156" s="56"/>
      <c r="D156" s="56"/>
      <c r="E156" s="56"/>
      <c r="F156" s="6"/>
      <c r="G156" s="6"/>
      <c r="H156" s="6"/>
      <c r="I156" s="6"/>
      <c r="J156" s="14"/>
      <c r="K156" s="14"/>
      <c r="L156" s="21"/>
      <c r="M156" s="46"/>
      <c r="N156" s="40"/>
      <c r="O156" s="21"/>
      <c r="P156" s="21"/>
      <c r="Q156" s="45"/>
      <c r="S156" s="3"/>
      <c r="T156" s="3"/>
      <c r="U156" s="3"/>
      <c r="V156" s="3"/>
    </row>
    <row r="157" spans="1:22" x14ac:dyDescent="0.35">
      <c r="A157" s="6">
        <f>+A155+1</f>
        <v>13</v>
      </c>
      <c r="B157" s="57" t="s">
        <v>56</v>
      </c>
      <c r="C157" s="57"/>
      <c r="D157" s="57"/>
      <c r="E157" s="57"/>
      <c r="F157" s="58">
        <v>125</v>
      </c>
      <c r="G157" s="6" t="s">
        <v>38</v>
      </c>
      <c r="H157" s="6"/>
      <c r="I157" s="6" t="str">
        <f>+$Q$2</f>
        <v>??</v>
      </c>
      <c r="J157" s="14" t="e">
        <f>+F157*H157*I157</f>
        <v>#VALUE!</v>
      </c>
      <c r="K157" s="14"/>
      <c r="L157" s="21"/>
      <c r="M157" s="46">
        <v>0.1</v>
      </c>
      <c r="N157" s="40">
        <f>+L157*M157</f>
        <v>0</v>
      </c>
      <c r="O157" s="21"/>
      <c r="P157" s="21"/>
      <c r="Q157" s="45">
        <f>+(F157*L157)+(F157*N157)+O157+P157</f>
        <v>0</v>
      </c>
      <c r="S157" s="53" t="e">
        <f>+T157/F157</f>
        <v>#VALUE!</v>
      </c>
      <c r="T157" s="49" t="e">
        <f>+J157+K157+Q157</f>
        <v>#VALUE!</v>
      </c>
      <c r="U157" s="49"/>
      <c r="V157" s="53">
        <f>+F157*H157</f>
        <v>0</v>
      </c>
    </row>
    <row r="158" spans="1:22" s="2" customFormat="1" hidden="1" outlineLevel="1" x14ac:dyDescent="0.35">
      <c r="A158" s="8"/>
      <c r="B158" s="9" t="s">
        <v>43</v>
      </c>
      <c r="C158" s="9">
        <v>2.7</v>
      </c>
      <c r="D158" s="9">
        <v>1</v>
      </c>
      <c r="E158" s="9">
        <v>11</v>
      </c>
      <c r="F158" s="10">
        <f>+C158*D158*E158</f>
        <v>29.700000000000003</v>
      </c>
      <c r="G158" s="10"/>
      <c r="H158" s="10"/>
      <c r="I158" s="10"/>
      <c r="J158" s="14"/>
      <c r="K158" s="14"/>
      <c r="L158" s="22"/>
      <c r="M158" s="47"/>
      <c r="N158" s="41"/>
      <c r="O158" s="22"/>
      <c r="P158" s="22"/>
      <c r="Q158" s="45"/>
      <c r="S158" s="50"/>
      <c r="T158" s="50"/>
      <c r="U158" s="50"/>
      <c r="V158" s="50"/>
    </row>
    <row r="159" spans="1:22" s="2" customFormat="1" hidden="1" outlineLevel="1" x14ac:dyDescent="0.35">
      <c r="A159" s="8"/>
      <c r="B159" s="9"/>
      <c r="C159" s="9"/>
      <c r="D159" s="9"/>
      <c r="E159" s="9"/>
      <c r="F159" s="10"/>
      <c r="G159" s="10"/>
      <c r="H159" s="10"/>
      <c r="I159" s="10"/>
      <c r="J159" s="14"/>
      <c r="K159" s="14"/>
      <c r="L159" s="22"/>
      <c r="M159" s="47"/>
      <c r="N159" s="41"/>
      <c r="O159" s="22"/>
      <c r="P159" s="22"/>
      <c r="Q159" s="45"/>
      <c r="S159" s="50"/>
      <c r="T159" s="50"/>
      <c r="U159" s="50"/>
      <c r="V159" s="50"/>
    </row>
    <row r="160" spans="1:22" s="2" customFormat="1" hidden="1" outlineLevel="1" x14ac:dyDescent="0.35">
      <c r="A160" s="8"/>
      <c r="B160" s="67" t="s">
        <v>45</v>
      </c>
      <c r="C160" s="9">
        <v>2.7</v>
      </c>
      <c r="D160" s="9">
        <v>1</v>
      </c>
      <c r="E160" s="9">
        <v>11</v>
      </c>
      <c r="F160" s="10">
        <f>+C160*D160*E160</f>
        <v>29.700000000000003</v>
      </c>
      <c r="G160" s="10"/>
      <c r="H160" s="10"/>
      <c r="I160" s="10"/>
      <c r="J160" s="14"/>
      <c r="K160" s="14"/>
      <c r="L160" s="22"/>
      <c r="M160" s="47"/>
      <c r="N160" s="41"/>
      <c r="O160" s="22"/>
      <c r="P160" s="22"/>
      <c r="Q160" s="45"/>
      <c r="S160" s="50"/>
      <c r="T160" s="50"/>
      <c r="U160" s="50"/>
      <c r="V160" s="50"/>
    </row>
    <row r="161" spans="1:22" s="2" customFormat="1" hidden="1" outlineLevel="1" x14ac:dyDescent="0.35">
      <c r="A161" s="8"/>
      <c r="B161" s="9"/>
      <c r="C161" s="9"/>
      <c r="D161" s="9"/>
      <c r="E161" s="9"/>
      <c r="F161" s="10"/>
      <c r="G161" s="10"/>
      <c r="H161" s="10"/>
      <c r="I161" s="10"/>
      <c r="J161" s="14"/>
      <c r="K161" s="14"/>
      <c r="L161" s="22"/>
      <c r="M161" s="47"/>
      <c r="N161" s="41"/>
      <c r="O161" s="22"/>
      <c r="P161" s="22"/>
      <c r="Q161" s="45"/>
      <c r="S161" s="50"/>
      <c r="T161" s="50"/>
      <c r="U161" s="50"/>
      <c r="V161" s="50"/>
    </row>
    <row r="162" spans="1:22" s="2" customFormat="1" hidden="1" outlineLevel="1" x14ac:dyDescent="0.35">
      <c r="A162" s="8"/>
      <c r="B162" s="67" t="s">
        <v>46</v>
      </c>
      <c r="C162" s="9">
        <v>2.7</v>
      </c>
      <c r="D162" s="9">
        <v>1</v>
      </c>
      <c r="E162" s="9">
        <v>11</v>
      </c>
      <c r="F162" s="10">
        <f>+C162*D162*E162</f>
        <v>29.700000000000003</v>
      </c>
      <c r="G162" s="10"/>
      <c r="H162" s="10"/>
      <c r="I162" s="10"/>
      <c r="J162" s="14"/>
      <c r="K162" s="14"/>
      <c r="L162" s="22"/>
      <c r="M162" s="47"/>
      <c r="N162" s="41"/>
      <c r="O162" s="22"/>
      <c r="P162" s="22"/>
      <c r="Q162" s="45"/>
      <c r="S162" s="50"/>
      <c r="T162" s="50"/>
      <c r="U162" s="50"/>
      <c r="V162" s="50"/>
    </row>
    <row r="163" spans="1:22" s="2" customFormat="1" hidden="1" outlineLevel="1" x14ac:dyDescent="0.35">
      <c r="A163" s="8"/>
      <c r="B163" s="9"/>
      <c r="C163" s="9"/>
      <c r="D163" s="9"/>
      <c r="E163" s="9">
        <v>1</v>
      </c>
      <c r="F163" s="10">
        <f>+C163*D163*E163</f>
        <v>0</v>
      </c>
      <c r="G163" s="10"/>
      <c r="H163" s="10"/>
      <c r="I163" s="10"/>
      <c r="J163" s="14"/>
      <c r="K163" s="14"/>
      <c r="L163" s="22"/>
      <c r="M163" s="47"/>
      <c r="N163" s="41"/>
      <c r="O163" s="22"/>
      <c r="P163" s="22"/>
      <c r="Q163" s="45"/>
      <c r="S163" s="50"/>
      <c r="T163" s="50"/>
      <c r="U163" s="50"/>
      <c r="V163" s="50"/>
    </row>
    <row r="164" spans="1:22" s="2" customFormat="1" hidden="1" outlineLevel="1" x14ac:dyDescent="0.35">
      <c r="A164" s="8"/>
      <c r="B164" s="9"/>
      <c r="C164" s="9"/>
      <c r="D164" s="9"/>
      <c r="E164" s="9"/>
      <c r="F164" s="10"/>
      <c r="G164" s="10"/>
      <c r="H164" s="10"/>
      <c r="I164" s="10"/>
      <c r="J164" s="14"/>
      <c r="K164" s="14"/>
      <c r="L164" s="22"/>
      <c r="M164" s="47"/>
      <c r="N164" s="41"/>
      <c r="O164" s="22"/>
      <c r="P164" s="22"/>
      <c r="Q164" s="45"/>
      <c r="S164" s="50"/>
      <c r="T164" s="50"/>
      <c r="U164" s="50"/>
      <c r="V164" s="50"/>
    </row>
    <row r="165" spans="1:22" s="2" customFormat="1" hidden="1" outlineLevel="1" x14ac:dyDescent="0.35">
      <c r="A165" s="8"/>
      <c r="B165" s="9"/>
      <c r="C165" s="9"/>
      <c r="D165" s="9"/>
      <c r="E165" s="9"/>
      <c r="F165" s="10">
        <f>SUM(F158:F164)</f>
        <v>89.100000000000009</v>
      </c>
      <c r="G165" s="10"/>
      <c r="H165" s="10"/>
      <c r="I165" s="10"/>
      <c r="J165" s="14"/>
      <c r="K165" s="14"/>
      <c r="L165" s="22"/>
      <c r="M165" s="47"/>
      <c r="N165" s="41"/>
      <c r="O165" s="22"/>
      <c r="P165" s="22"/>
      <c r="Q165" s="45"/>
      <c r="S165" s="50"/>
      <c r="T165" s="50"/>
      <c r="U165" s="50"/>
      <c r="V165" s="50"/>
    </row>
    <row r="166" spans="1:22" collapsed="1" x14ac:dyDescent="0.35">
      <c r="A166" s="6"/>
      <c r="B166" s="56"/>
      <c r="C166" s="56"/>
      <c r="D166" s="56"/>
      <c r="E166" s="56"/>
      <c r="F166" s="6"/>
      <c r="G166" s="6"/>
      <c r="H166" s="6"/>
      <c r="I166" s="6"/>
      <c r="J166" s="14"/>
      <c r="K166" s="14"/>
      <c r="L166" s="21"/>
      <c r="M166" s="46"/>
      <c r="N166" s="40"/>
      <c r="O166" s="21"/>
      <c r="P166" s="21"/>
      <c r="Q166" s="45"/>
      <c r="S166" s="3"/>
      <c r="T166" s="3"/>
      <c r="U166" s="3"/>
      <c r="V166" s="3"/>
    </row>
    <row r="167" spans="1:22" x14ac:dyDescent="0.35">
      <c r="A167" s="6">
        <f>+A157+1</f>
        <v>14</v>
      </c>
      <c r="B167" s="57" t="s">
        <v>68</v>
      </c>
      <c r="C167" s="57"/>
      <c r="D167" s="57"/>
      <c r="E167" s="57"/>
      <c r="F167" s="58">
        <v>141</v>
      </c>
      <c r="G167" s="6" t="s">
        <v>38</v>
      </c>
      <c r="H167" s="6"/>
      <c r="I167" s="6" t="str">
        <f>+$Q$2</f>
        <v>??</v>
      </c>
      <c r="J167" s="14" t="e">
        <f>+F167*H167*I167</f>
        <v>#VALUE!</v>
      </c>
      <c r="K167" s="14"/>
      <c r="L167" s="21"/>
      <c r="M167" s="46">
        <v>0.1</v>
      </c>
      <c r="N167" s="40">
        <f>+L167*M167</f>
        <v>0</v>
      </c>
      <c r="O167" s="21"/>
      <c r="P167" s="21"/>
      <c r="Q167" s="45">
        <f>+(F167*L167)+(F167*N167)+O167+P167</f>
        <v>0</v>
      </c>
      <c r="S167" s="53" t="e">
        <f>+T167/F167</f>
        <v>#VALUE!</v>
      </c>
      <c r="T167" s="49" t="e">
        <f>+J167+K167+Q167</f>
        <v>#VALUE!</v>
      </c>
      <c r="U167" s="49"/>
      <c r="V167" s="53">
        <f>+F167*H167</f>
        <v>0</v>
      </c>
    </row>
    <row r="168" spans="1:22" s="2" customFormat="1" hidden="1" outlineLevel="1" x14ac:dyDescent="0.35">
      <c r="A168" s="8"/>
      <c r="B168" s="9" t="s">
        <v>34</v>
      </c>
      <c r="C168" s="9">
        <v>12.5</v>
      </c>
      <c r="D168" s="9">
        <v>1</v>
      </c>
      <c r="E168" s="9">
        <v>1</v>
      </c>
      <c r="F168" s="10">
        <f t="shared" ref="F168:F176" si="9">+C168*D168*E168</f>
        <v>12.5</v>
      </c>
      <c r="G168" s="10"/>
      <c r="H168" s="10"/>
      <c r="I168" s="10"/>
      <c r="J168" s="14"/>
      <c r="K168" s="14"/>
      <c r="L168" s="22"/>
      <c r="M168" s="47"/>
      <c r="N168" s="41"/>
      <c r="O168" s="22"/>
      <c r="P168" s="22"/>
      <c r="Q168" s="45"/>
      <c r="S168" s="50"/>
      <c r="T168" s="50"/>
      <c r="U168" s="50"/>
      <c r="V168" s="50"/>
    </row>
    <row r="169" spans="1:22" s="2" customFormat="1" hidden="1" outlineLevel="1" x14ac:dyDescent="0.35">
      <c r="A169" s="8"/>
      <c r="B169" s="9"/>
      <c r="C169" s="9">
        <v>1</v>
      </c>
      <c r="D169" s="9">
        <v>1</v>
      </c>
      <c r="E169" s="9">
        <v>1</v>
      </c>
      <c r="F169" s="10">
        <f t="shared" si="9"/>
        <v>1</v>
      </c>
      <c r="G169" s="10"/>
      <c r="H169" s="10"/>
      <c r="I169" s="10"/>
      <c r="J169" s="14"/>
      <c r="K169" s="14"/>
      <c r="L169" s="22"/>
      <c r="M169" s="47"/>
      <c r="N169" s="41"/>
      <c r="O169" s="22"/>
      <c r="P169" s="22"/>
      <c r="Q169" s="45"/>
      <c r="S169" s="50"/>
      <c r="T169" s="50"/>
      <c r="U169" s="50"/>
      <c r="V169" s="50"/>
    </row>
    <row r="170" spans="1:22" s="2" customFormat="1" hidden="1" outlineLevel="1" x14ac:dyDescent="0.35">
      <c r="A170" s="8"/>
      <c r="B170" s="9"/>
      <c r="C170" s="9"/>
      <c r="D170" s="9">
        <v>1</v>
      </c>
      <c r="E170" s="9">
        <v>1</v>
      </c>
      <c r="F170" s="10">
        <f t="shared" si="9"/>
        <v>0</v>
      </c>
      <c r="G170" s="10"/>
      <c r="H170" s="10"/>
      <c r="I170" s="10"/>
      <c r="J170" s="14"/>
      <c r="K170" s="14"/>
      <c r="L170" s="22"/>
      <c r="M170" s="47"/>
      <c r="N170" s="41"/>
      <c r="O170" s="22"/>
      <c r="P170" s="22"/>
      <c r="Q170" s="45"/>
      <c r="S170" s="50"/>
      <c r="T170" s="50"/>
      <c r="U170" s="50"/>
      <c r="V170" s="50"/>
    </row>
    <row r="171" spans="1:22" s="2" customFormat="1" hidden="1" outlineLevel="1" x14ac:dyDescent="0.35">
      <c r="A171" s="8"/>
      <c r="B171" s="67" t="s">
        <v>41</v>
      </c>
      <c r="C171" s="9">
        <v>12.5</v>
      </c>
      <c r="D171" s="9">
        <v>1</v>
      </c>
      <c r="E171" s="9">
        <v>1</v>
      </c>
      <c r="F171" s="10">
        <f t="shared" si="9"/>
        <v>12.5</v>
      </c>
      <c r="G171" s="10"/>
      <c r="H171" s="10"/>
      <c r="I171" s="10"/>
      <c r="J171" s="14"/>
      <c r="K171" s="14"/>
      <c r="L171" s="22"/>
      <c r="M171" s="47"/>
      <c r="N171" s="41"/>
      <c r="O171" s="22"/>
      <c r="P171" s="22"/>
      <c r="Q171" s="45"/>
      <c r="S171" s="50"/>
      <c r="T171" s="50"/>
      <c r="U171" s="50"/>
      <c r="V171" s="50"/>
    </row>
    <row r="172" spans="1:22" s="2" customFormat="1" hidden="1" outlineLevel="1" x14ac:dyDescent="0.35">
      <c r="A172" s="8"/>
      <c r="B172" s="9"/>
      <c r="C172" s="9">
        <v>1</v>
      </c>
      <c r="D172" s="9">
        <v>1</v>
      </c>
      <c r="E172" s="9">
        <v>1</v>
      </c>
      <c r="F172" s="10">
        <f t="shared" si="9"/>
        <v>1</v>
      </c>
      <c r="G172" s="10"/>
      <c r="H172" s="10"/>
      <c r="I172" s="10"/>
      <c r="J172" s="14"/>
      <c r="K172" s="14"/>
      <c r="L172" s="22"/>
      <c r="M172" s="47"/>
      <c r="N172" s="41"/>
      <c r="O172" s="22"/>
      <c r="P172" s="22"/>
      <c r="Q172" s="45"/>
      <c r="S172" s="50"/>
      <c r="T172" s="50"/>
      <c r="U172" s="50"/>
      <c r="V172" s="50"/>
    </row>
    <row r="173" spans="1:22" s="2" customFormat="1" hidden="1" outlineLevel="1" x14ac:dyDescent="0.35">
      <c r="A173" s="8"/>
      <c r="B173" s="9"/>
      <c r="C173" s="9"/>
      <c r="D173" s="9">
        <v>1</v>
      </c>
      <c r="E173" s="9">
        <v>1</v>
      </c>
      <c r="F173" s="10">
        <f t="shared" si="9"/>
        <v>0</v>
      </c>
      <c r="G173" s="10"/>
      <c r="H173" s="10"/>
      <c r="I173" s="10"/>
      <c r="J173" s="14"/>
      <c r="K173" s="14"/>
      <c r="L173" s="22"/>
      <c r="M173" s="47"/>
      <c r="N173" s="41"/>
      <c r="O173" s="22"/>
      <c r="P173" s="22"/>
      <c r="Q173" s="45"/>
      <c r="S173" s="50"/>
      <c r="T173" s="50"/>
      <c r="U173" s="50"/>
      <c r="V173" s="50"/>
    </row>
    <row r="174" spans="1:22" s="2" customFormat="1" hidden="1" outlineLevel="1" x14ac:dyDescent="0.35">
      <c r="A174" s="8"/>
      <c r="B174" s="67" t="s">
        <v>42</v>
      </c>
      <c r="C174" s="9">
        <v>12.5</v>
      </c>
      <c r="D174" s="9">
        <v>1</v>
      </c>
      <c r="E174" s="9">
        <v>1</v>
      </c>
      <c r="F174" s="10">
        <f t="shared" si="9"/>
        <v>12.5</v>
      </c>
      <c r="G174" s="10"/>
      <c r="H174" s="10"/>
      <c r="I174" s="10"/>
      <c r="J174" s="14"/>
      <c r="K174" s="14"/>
      <c r="L174" s="22"/>
      <c r="M174" s="47"/>
      <c r="N174" s="41"/>
      <c r="O174" s="22"/>
      <c r="P174" s="22"/>
      <c r="Q174" s="45"/>
      <c r="S174" s="50"/>
      <c r="T174" s="50"/>
      <c r="U174" s="50"/>
      <c r="V174" s="50"/>
    </row>
    <row r="175" spans="1:22" s="2" customFormat="1" hidden="1" outlineLevel="1" x14ac:dyDescent="0.35">
      <c r="A175" s="8"/>
      <c r="B175" s="9"/>
      <c r="C175" s="9">
        <v>1</v>
      </c>
      <c r="D175" s="9">
        <v>1</v>
      </c>
      <c r="E175" s="9">
        <v>1</v>
      </c>
      <c r="F175" s="10">
        <f t="shared" si="9"/>
        <v>1</v>
      </c>
      <c r="G175" s="10"/>
      <c r="H175" s="10"/>
      <c r="I175" s="10"/>
      <c r="J175" s="14"/>
      <c r="K175" s="14"/>
      <c r="L175" s="22"/>
      <c r="M175" s="47"/>
      <c r="N175" s="41"/>
      <c r="O175" s="22"/>
      <c r="P175" s="22"/>
      <c r="Q175" s="45"/>
      <c r="S175" s="50"/>
      <c r="T175" s="50"/>
      <c r="U175" s="50"/>
      <c r="V175" s="50"/>
    </row>
    <row r="176" spans="1:22" s="2" customFormat="1" hidden="1" outlineLevel="1" x14ac:dyDescent="0.35">
      <c r="A176" s="8"/>
      <c r="B176" s="9"/>
      <c r="C176" s="9"/>
      <c r="D176" s="9">
        <v>1</v>
      </c>
      <c r="E176" s="9">
        <v>1</v>
      </c>
      <c r="F176" s="10">
        <f t="shared" si="9"/>
        <v>0</v>
      </c>
      <c r="G176" s="10"/>
      <c r="H176" s="10"/>
      <c r="I176" s="10"/>
      <c r="J176" s="14"/>
      <c r="K176" s="14"/>
      <c r="L176" s="22"/>
      <c r="M176" s="47"/>
      <c r="N176" s="41"/>
      <c r="O176" s="22"/>
      <c r="P176" s="22"/>
      <c r="Q176" s="45"/>
      <c r="S176" s="50"/>
      <c r="T176" s="50"/>
      <c r="U176" s="50"/>
      <c r="V176" s="50"/>
    </row>
    <row r="177" spans="1:22" s="2" customFormat="1" hidden="1" outlineLevel="1" x14ac:dyDescent="0.35">
      <c r="A177" s="8"/>
      <c r="B177" s="9"/>
      <c r="C177" s="9"/>
      <c r="D177" s="9"/>
      <c r="E177" s="9"/>
      <c r="F177" s="10"/>
      <c r="G177" s="10"/>
      <c r="H177" s="10"/>
      <c r="I177" s="10"/>
      <c r="J177" s="14"/>
      <c r="K177" s="14"/>
      <c r="L177" s="22"/>
      <c r="M177" s="47"/>
      <c r="N177" s="41"/>
      <c r="O177" s="22"/>
      <c r="P177" s="22"/>
      <c r="Q177" s="45"/>
      <c r="S177" s="50"/>
      <c r="T177" s="50"/>
      <c r="U177" s="50"/>
      <c r="V177" s="50"/>
    </row>
    <row r="178" spans="1:22" s="2" customFormat="1" hidden="1" outlineLevel="1" x14ac:dyDescent="0.35">
      <c r="A178" s="8"/>
      <c r="B178" s="9"/>
      <c r="C178" s="9"/>
      <c r="D178" s="9"/>
      <c r="E178" s="9"/>
      <c r="F178" s="10">
        <f>SUM(F168:F177)</f>
        <v>40.5</v>
      </c>
      <c r="G178" s="10"/>
      <c r="H178" s="10"/>
      <c r="I178" s="10"/>
      <c r="J178" s="14"/>
      <c r="K178" s="14"/>
      <c r="L178" s="22"/>
      <c r="M178" s="47"/>
      <c r="N178" s="41"/>
      <c r="O178" s="22"/>
      <c r="P178" s="22"/>
      <c r="Q178" s="45"/>
      <c r="S178" s="50"/>
      <c r="T178" s="50"/>
      <c r="U178" s="50"/>
      <c r="V178" s="50"/>
    </row>
    <row r="179" spans="1:22" collapsed="1" x14ac:dyDescent="0.35">
      <c r="A179" s="6"/>
      <c r="B179" s="56"/>
      <c r="C179" s="56"/>
      <c r="D179" s="56"/>
      <c r="E179" s="56"/>
      <c r="F179" s="6"/>
      <c r="G179" s="6"/>
      <c r="H179" s="6"/>
      <c r="I179" s="6"/>
      <c r="J179" s="14"/>
      <c r="K179" s="14"/>
      <c r="L179" s="21"/>
      <c r="M179" s="46"/>
      <c r="N179" s="40"/>
      <c r="O179" s="21"/>
      <c r="P179" s="21"/>
      <c r="Q179" s="45"/>
      <c r="S179" s="3"/>
      <c r="T179" s="3"/>
      <c r="U179" s="3"/>
      <c r="V179" s="3"/>
    </row>
    <row r="180" spans="1:22" x14ac:dyDescent="0.35">
      <c r="A180" s="6">
        <f>+A167+1</f>
        <v>15</v>
      </c>
      <c r="B180" s="57" t="s">
        <v>71</v>
      </c>
      <c r="C180" s="57"/>
      <c r="D180" s="57"/>
      <c r="E180" s="57"/>
      <c r="F180" s="58">
        <v>32</v>
      </c>
      <c r="G180" s="6" t="s">
        <v>38</v>
      </c>
      <c r="H180" s="6"/>
      <c r="I180" s="6" t="str">
        <f>+$Q$2</f>
        <v>??</v>
      </c>
      <c r="J180" s="14" t="e">
        <f>+F180*H180*I180</f>
        <v>#VALUE!</v>
      </c>
      <c r="K180" s="14"/>
      <c r="L180" s="21"/>
      <c r="M180" s="46">
        <v>0.1</v>
      </c>
      <c r="N180" s="40">
        <f>+L180*M180</f>
        <v>0</v>
      </c>
      <c r="O180" s="21"/>
      <c r="P180" s="21"/>
      <c r="Q180" s="45">
        <f>+(F180*L180)+(F180*N180)+O180+P180</f>
        <v>0</v>
      </c>
      <c r="S180" s="53" t="e">
        <f>+T180/F180</f>
        <v>#VALUE!</v>
      </c>
      <c r="T180" s="49" t="e">
        <f>+J180+K180+Q180</f>
        <v>#VALUE!</v>
      </c>
      <c r="U180" s="49"/>
      <c r="V180" s="53">
        <f>+F180*H180</f>
        <v>0</v>
      </c>
    </row>
    <row r="181" spans="1:22" s="2" customFormat="1" hidden="1" outlineLevel="1" x14ac:dyDescent="0.35">
      <c r="A181" s="8"/>
      <c r="B181" s="9" t="s">
        <v>34</v>
      </c>
      <c r="C181" s="9"/>
      <c r="D181" s="9">
        <v>1</v>
      </c>
      <c r="E181" s="9">
        <v>1</v>
      </c>
      <c r="F181" s="10">
        <f t="shared" ref="F181:F189" si="10">+C181*D181*E181</f>
        <v>0</v>
      </c>
      <c r="G181" s="10"/>
      <c r="H181" s="10"/>
      <c r="I181" s="10"/>
      <c r="J181" s="14"/>
      <c r="K181" s="14"/>
      <c r="L181" s="22"/>
      <c r="M181" s="47"/>
      <c r="N181" s="41"/>
      <c r="O181" s="22"/>
      <c r="P181" s="22"/>
      <c r="Q181" s="45"/>
      <c r="S181" s="50"/>
      <c r="T181" s="50"/>
      <c r="U181" s="50"/>
      <c r="V181" s="50"/>
    </row>
    <row r="182" spans="1:22" s="2" customFormat="1" hidden="1" outlineLevel="1" x14ac:dyDescent="0.35">
      <c r="A182" s="8"/>
      <c r="B182" s="9"/>
      <c r="C182" s="9"/>
      <c r="D182" s="9">
        <v>1</v>
      </c>
      <c r="E182" s="9">
        <v>1</v>
      </c>
      <c r="F182" s="10">
        <f t="shared" si="10"/>
        <v>0</v>
      </c>
      <c r="G182" s="10"/>
      <c r="H182" s="10"/>
      <c r="I182" s="10"/>
      <c r="J182" s="14"/>
      <c r="K182" s="14"/>
      <c r="L182" s="22"/>
      <c r="M182" s="47"/>
      <c r="N182" s="41"/>
      <c r="O182" s="22"/>
      <c r="P182" s="22"/>
      <c r="Q182" s="45"/>
      <c r="S182" s="50"/>
      <c r="T182" s="50"/>
      <c r="U182" s="50"/>
      <c r="V182" s="50"/>
    </row>
    <row r="183" spans="1:22" s="2" customFormat="1" hidden="1" outlineLevel="1" x14ac:dyDescent="0.35">
      <c r="A183" s="8"/>
      <c r="B183" s="9"/>
      <c r="C183" s="9"/>
      <c r="D183" s="9">
        <v>1</v>
      </c>
      <c r="E183" s="9">
        <v>1</v>
      </c>
      <c r="F183" s="10">
        <f t="shared" si="10"/>
        <v>0</v>
      </c>
      <c r="G183" s="10"/>
      <c r="H183" s="10"/>
      <c r="I183" s="10"/>
      <c r="J183" s="14"/>
      <c r="K183" s="14"/>
      <c r="L183" s="22"/>
      <c r="M183" s="47"/>
      <c r="N183" s="41"/>
      <c r="O183" s="22"/>
      <c r="P183" s="22"/>
      <c r="Q183" s="45"/>
      <c r="S183" s="50"/>
      <c r="T183" s="50"/>
      <c r="U183" s="50"/>
      <c r="V183" s="50"/>
    </row>
    <row r="184" spans="1:22" s="2" customFormat="1" hidden="1" outlineLevel="1" x14ac:dyDescent="0.35">
      <c r="A184" s="8"/>
      <c r="B184" s="67" t="s">
        <v>41</v>
      </c>
      <c r="C184" s="9">
        <v>1.1000000000000001</v>
      </c>
      <c r="D184" s="9">
        <v>1</v>
      </c>
      <c r="E184" s="9">
        <v>2</v>
      </c>
      <c r="F184" s="10">
        <f t="shared" si="10"/>
        <v>2.2000000000000002</v>
      </c>
      <c r="G184" s="10"/>
      <c r="H184" s="10"/>
      <c r="I184" s="10"/>
      <c r="J184" s="14"/>
      <c r="K184" s="14"/>
      <c r="L184" s="22"/>
      <c r="M184" s="47"/>
      <c r="N184" s="41"/>
      <c r="O184" s="22"/>
      <c r="P184" s="22"/>
      <c r="Q184" s="45"/>
      <c r="S184" s="50"/>
      <c r="T184" s="50"/>
      <c r="U184" s="50"/>
      <c r="V184" s="50"/>
    </row>
    <row r="185" spans="1:22" s="2" customFormat="1" hidden="1" outlineLevel="1" x14ac:dyDescent="0.35">
      <c r="A185" s="8"/>
      <c r="B185" s="9"/>
      <c r="C185" s="9">
        <v>1</v>
      </c>
      <c r="D185" s="9">
        <v>1</v>
      </c>
      <c r="E185" s="9">
        <v>1</v>
      </c>
      <c r="F185" s="10">
        <f t="shared" si="10"/>
        <v>1</v>
      </c>
      <c r="G185" s="10"/>
      <c r="H185" s="10"/>
      <c r="I185" s="10"/>
      <c r="J185" s="14"/>
      <c r="K185" s="14"/>
      <c r="L185" s="22"/>
      <c r="M185" s="47"/>
      <c r="N185" s="41"/>
      <c r="O185" s="22"/>
      <c r="P185" s="22"/>
      <c r="Q185" s="45"/>
      <c r="S185" s="50"/>
      <c r="T185" s="50"/>
      <c r="U185" s="50"/>
      <c r="V185" s="50"/>
    </row>
    <row r="186" spans="1:22" s="2" customFormat="1" hidden="1" outlineLevel="1" x14ac:dyDescent="0.35">
      <c r="A186" s="8"/>
      <c r="B186" s="9"/>
      <c r="C186" s="9"/>
      <c r="D186" s="9">
        <v>1</v>
      </c>
      <c r="E186" s="9">
        <v>1</v>
      </c>
      <c r="F186" s="10">
        <f t="shared" si="10"/>
        <v>0</v>
      </c>
      <c r="G186" s="10"/>
      <c r="H186" s="10"/>
      <c r="I186" s="10"/>
      <c r="J186" s="14"/>
      <c r="K186" s="14"/>
      <c r="L186" s="22"/>
      <c r="M186" s="47"/>
      <c r="N186" s="41"/>
      <c r="O186" s="22"/>
      <c r="P186" s="22"/>
      <c r="Q186" s="45"/>
      <c r="S186" s="50"/>
      <c r="T186" s="50"/>
      <c r="U186" s="50"/>
      <c r="V186" s="50"/>
    </row>
    <row r="187" spans="1:22" s="2" customFormat="1" hidden="1" outlineLevel="1" x14ac:dyDescent="0.35">
      <c r="A187" s="8"/>
      <c r="B187" s="67" t="s">
        <v>42</v>
      </c>
      <c r="C187" s="9"/>
      <c r="D187" s="9">
        <v>1</v>
      </c>
      <c r="E187" s="9">
        <v>1</v>
      </c>
      <c r="F187" s="10">
        <f t="shared" si="10"/>
        <v>0</v>
      </c>
      <c r="G187" s="10"/>
      <c r="H187" s="10"/>
      <c r="I187" s="10"/>
      <c r="J187" s="14"/>
      <c r="K187" s="14"/>
      <c r="L187" s="22"/>
      <c r="M187" s="47"/>
      <c r="N187" s="41"/>
      <c r="O187" s="22"/>
      <c r="P187" s="22"/>
      <c r="Q187" s="45"/>
      <c r="S187" s="50"/>
      <c r="T187" s="50"/>
      <c r="U187" s="50"/>
      <c r="V187" s="50"/>
    </row>
    <row r="188" spans="1:22" s="2" customFormat="1" hidden="1" outlineLevel="1" x14ac:dyDescent="0.35">
      <c r="A188" s="8"/>
      <c r="B188" s="9"/>
      <c r="C188" s="9"/>
      <c r="D188" s="9">
        <v>1</v>
      </c>
      <c r="E188" s="9">
        <v>1</v>
      </c>
      <c r="F188" s="10">
        <f t="shared" si="10"/>
        <v>0</v>
      </c>
      <c r="G188" s="10"/>
      <c r="H188" s="10"/>
      <c r="I188" s="10"/>
      <c r="J188" s="14"/>
      <c r="K188" s="14"/>
      <c r="L188" s="22"/>
      <c r="M188" s="47"/>
      <c r="N188" s="41"/>
      <c r="O188" s="22"/>
      <c r="P188" s="22"/>
      <c r="Q188" s="45"/>
      <c r="S188" s="50"/>
      <c r="T188" s="50"/>
      <c r="U188" s="50"/>
      <c r="V188" s="50"/>
    </row>
    <row r="189" spans="1:22" s="2" customFormat="1" hidden="1" outlineLevel="1" x14ac:dyDescent="0.35">
      <c r="A189" s="8"/>
      <c r="B189" s="9"/>
      <c r="C189" s="9"/>
      <c r="D189" s="9">
        <v>1</v>
      </c>
      <c r="E189" s="9">
        <v>1</v>
      </c>
      <c r="F189" s="10">
        <f t="shared" si="10"/>
        <v>0</v>
      </c>
      <c r="G189" s="10"/>
      <c r="H189" s="10"/>
      <c r="I189" s="10"/>
      <c r="J189" s="14"/>
      <c r="K189" s="14"/>
      <c r="L189" s="22"/>
      <c r="M189" s="47"/>
      <c r="N189" s="41"/>
      <c r="O189" s="22"/>
      <c r="P189" s="22"/>
      <c r="Q189" s="45"/>
      <c r="S189" s="50"/>
      <c r="T189" s="50"/>
      <c r="U189" s="50"/>
      <c r="V189" s="50"/>
    </row>
    <row r="190" spans="1:22" s="2" customFormat="1" hidden="1" outlineLevel="1" x14ac:dyDescent="0.35">
      <c r="A190" s="8"/>
      <c r="B190" s="9"/>
      <c r="C190" s="9"/>
      <c r="D190" s="9"/>
      <c r="E190" s="9"/>
      <c r="F190" s="10"/>
      <c r="G190" s="10"/>
      <c r="H190" s="10"/>
      <c r="I190" s="10"/>
      <c r="J190" s="14"/>
      <c r="K190" s="14"/>
      <c r="L190" s="22"/>
      <c r="M190" s="47"/>
      <c r="N190" s="41"/>
      <c r="O190" s="22"/>
      <c r="P190" s="22"/>
      <c r="Q190" s="45"/>
      <c r="S190" s="50"/>
      <c r="T190" s="50"/>
      <c r="U190" s="50"/>
      <c r="V190" s="50"/>
    </row>
    <row r="191" spans="1:22" s="2" customFormat="1" hidden="1" outlineLevel="1" x14ac:dyDescent="0.35">
      <c r="A191" s="8"/>
      <c r="B191" s="9"/>
      <c r="C191" s="9"/>
      <c r="D191" s="9"/>
      <c r="E191" s="9"/>
      <c r="F191" s="10">
        <f>SUM(F181:F190)</f>
        <v>3.2</v>
      </c>
      <c r="G191" s="10"/>
      <c r="H191" s="10"/>
      <c r="I191" s="10"/>
      <c r="J191" s="14"/>
      <c r="K191" s="14"/>
      <c r="L191" s="22"/>
      <c r="M191" s="47"/>
      <c r="N191" s="41"/>
      <c r="O191" s="22"/>
      <c r="P191" s="22"/>
      <c r="Q191" s="45"/>
      <c r="S191" s="50"/>
      <c r="T191" s="50"/>
      <c r="U191" s="50"/>
      <c r="V191" s="50"/>
    </row>
    <row r="192" spans="1:22" collapsed="1" x14ac:dyDescent="0.35">
      <c r="A192" s="6"/>
      <c r="B192" s="56"/>
      <c r="C192" s="56"/>
      <c r="D192" s="56"/>
      <c r="E192" s="56"/>
      <c r="F192" s="6"/>
      <c r="G192" s="6"/>
      <c r="H192" s="6"/>
      <c r="I192" s="6"/>
      <c r="J192" s="14"/>
      <c r="K192" s="14"/>
      <c r="L192" s="21"/>
      <c r="M192" s="46"/>
      <c r="N192" s="40"/>
      <c r="O192" s="21"/>
      <c r="P192" s="21"/>
      <c r="Q192" s="45"/>
      <c r="S192" s="3"/>
      <c r="T192" s="3"/>
      <c r="U192" s="3"/>
      <c r="V192" s="3"/>
    </row>
    <row r="193" spans="1:22" x14ac:dyDescent="0.35">
      <c r="A193" s="6">
        <f>+A180+1</f>
        <v>16</v>
      </c>
      <c r="B193" s="57" t="s">
        <v>69</v>
      </c>
      <c r="C193" s="57"/>
      <c r="D193" s="57"/>
      <c r="E193" s="57"/>
      <c r="F193" s="58">
        <v>722</v>
      </c>
      <c r="G193" s="6" t="s">
        <v>10</v>
      </c>
      <c r="H193" s="6"/>
      <c r="I193" s="6" t="str">
        <f>+$Q$2</f>
        <v>??</v>
      </c>
      <c r="J193" s="14" t="e">
        <f>+F193*H193*I193</f>
        <v>#VALUE!</v>
      </c>
      <c r="K193" s="14"/>
      <c r="L193" s="21"/>
      <c r="M193" s="46">
        <v>0.1</v>
      </c>
      <c r="N193" s="40">
        <f>+L193*M193</f>
        <v>0</v>
      </c>
      <c r="O193" s="21"/>
      <c r="P193" s="21"/>
      <c r="Q193" s="45">
        <f>+(F193*L193)+(F193*N193)+O193+P193</f>
        <v>0</v>
      </c>
      <c r="S193" s="53" t="e">
        <f>+T193/F193</f>
        <v>#VALUE!</v>
      </c>
      <c r="T193" s="49" t="e">
        <f>+J193+K193+Q193</f>
        <v>#VALUE!</v>
      </c>
      <c r="U193" s="49"/>
      <c r="V193" s="53">
        <f>+F193*H193</f>
        <v>0</v>
      </c>
    </row>
    <row r="194" spans="1:22" s="2" customFormat="1" hidden="1" outlineLevel="1" x14ac:dyDescent="0.35">
      <c r="A194" s="8"/>
      <c r="B194" s="9" t="s">
        <v>73</v>
      </c>
      <c r="C194" s="9">
        <v>6.4</v>
      </c>
      <c r="D194" s="9">
        <v>2.7</v>
      </c>
      <c r="E194" s="9">
        <v>1</v>
      </c>
      <c r="F194" s="10">
        <f t="shared" ref="F194:F200" si="11">+C194*D194*E194</f>
        <v>17.28</v>
      </c>
      <c r="G194" s="10"/>
      <c r="H194" s="10"/>
      <c r="I194" s="10"/>
      <c r="J194" s="14"/>
      <c r="K194" s="14"/>
      <c r="L194" s="22"/>
      <c r="M194" s="47"/>
      <c r="N194" s="41"/>
      <c r="O194" s="22"/>
      <c r="P194" s="22"/>
      <c r="Q194" s="45"/>
      <c r="S194" s="50"/>
      <c r="T194" s="50"/>
      <c r="U194" s="50"/>
      <c r="V194" s="50"/>
    </row>
    <row r="195" spans="1:22" s="2" customFormat="1" hidden="1" outlineLevel="1" x14ac:dyDescent="0.35">
      <c r="A195" s="8"/>
      <c r="B195" s="9" t="s">
        <v>72</v>
      </c>
      <c r="C195" s="9">
        <v>5.2</v>
      </c>
      <c r="D195" s="9">
        <v>2.7</v>
      </c>
      <c r="E195" s="9">
        <v>2</v>
      </c>
      <c r="F195" s="10">
        <f t="shared" si="11"/>
        <v>28.080000000000002</v>
      </c>
      <c r="G195" s="10"/>
      <c r="H195" s="10"/>
      <c r="I195" s="10"/>
      <c r="J195" s="14"/>
      <c r="K195" s="14"/>
      <c r="L195" s="22"/>
      <c r="M195" s="47"/>
      <c r="N195" s="41"/>
      <c r="O195" s="22"/>
      <c r="P195" s="22"/>
      <c r="Q195" s="45"/>
      <c r="S195" s="50"/>
      <c r="T195" s="50"/>
      <c r="U195" s="50"/>
      <c r="V195" s="50"/>
    </row>
    <row r="196" spans="1:22" s="2" customFormat="1" hidden="1" outlineLevel="1" x14ac:dyDescent="0.35">
      <c r="A196" s="8"/>
      <c r="B196" s="9"/>
      <c r="C196" s="9">
        <v>2</v>
      </c>
      <c r="D196" s="9">
        <v>2.7</v>
      </c>
      <c r="E196" s="9">
        <v>2</v>
      </c>
      <c r="F196" s="10">
        <f t="shared" si="11"/>
        <v>10.8</v>
      </c>
      <c r="G196" s="10"/>
      <c r="H196" s="10"/>
      <c r="I196" s="10"/>
      <c r="J196" s="14"/>
      <c r="K196" s="14"/>
      <c r="L196" s="22"/>
      <c r="M196" s="47"/>
      <c r="N196" s="41"/>
      <c r="O196" s="22"/>
      <c r="P196" s="22"/>
      <c r="Q196" s="45"/>
      <c r="S196" s="50"/>
      <c r="T196" s="50"/>
      <c r="U196" s="50"/>
      <c r="V196" s="50"/>
    </row>
    <row r="197" spans="1:22" s="2" customFormat="1" hidden="1" outlineLevel="1" x14ac:dyDescent="0.35">
      <c r="A197" s="8"/>
      <c r="B197" s="9" t="s">
        <v>70</v>
      </c>
      <c r="C197" s="9">
        <v>3.8</v>
      </c>
      <c r="D197" s="9">
        <v>2.7</v>
      </c>
      <c r="E197" s="9">
        <v>2</v>
      </c>
      <c r="F197" s="10">
        <f t="shared" si="11"/>
        <v>20.52</v>
      </c>
      <c r="G197" s="10"/>
      <c r="H197" s="10"/>
      <c r="I197" s="10"/>
      <c r="J197" s="14"/>
      <c r="K197" s="14"/>
      <c r="L197" s="22"/>
      <c r="M197" s="47"/>
      <c r="N197" s="41"/>
      <c r="O197" s="22"/>
      <c r="P197" s="22"/>
      <c r="Q197" s="45"/>
      <c r="S197" s="50"/>
      <c r="T197" s="50"/>
      <c r="U197" s="50"/>
      <c r="V197" s="50"/>
    </row>
    <row r="198" spans="1:22" s="2" customFormat="1" hidden="1" outlineLevel="1" x14ac:dyDescent="0.35">
      <c r="A198" s="8"/>
      <c r="B198" s="9"/>
      <c r="C198" s="9">
        <v>2</v>
      </c>
      <c r="D198" s="9">
        <v>2.7</v>
      </c>
      <c r="E198" s="9">
        <v>1</v>
      </c>
      <c r="F198" s="10">
        <f t="shared" si="11"/>
        <v>5.4</v>
      </c>
      <c r="G198" s="10"/>
      <c r="H198" s="10"/>
      <c r="I198" s="10"/>
      <c r="J198" s="14"/>
      <c r="K198" s="14"/>
      <c r="L198" s="22"/>
      <c r="M198" s="47"/>
      <c r="N198" s="41"/>
      <c r="O198" s="22"/>
      <c r="P198" s="22"/>
      <c r="Q198" s="45"/>
      <c r="S198" s="50"/>
      <c r="T198" s="50"/>
      <c r="U198" s="50"/>
      <c r="V198" s="50"/>
    </row>
    <row r="199" spans="1:22" s="2" customFormat="1" hidden="1" outlineLevel="1" x14ac:dyDescent="0.35">
      <c r="A199" s="8"/>
      <c r="B199" s="9" t="s">
        <v>80</v>
      </c>
      <c r="C199" s="9">
        <v>0.6</v>
      </c>
      <c r="D199" s="9">
        <v>2.7</v>
      </c>
      <c r="E199" s="9">
        <v>2</v>
      </c>
      <c r="F199" s="10">
        <f t="shared" si="11"/>
        <v>3.24</v>
      </c>
      <c r="G199" s="10"/>
      <c r="H199" s="10"/>
      <c r="I199" s="10"/>
      <c r="J199" s="14"/>
      <c r="K199" s="14"/>
      <c r="L199" s="22"/>
      <c r="M199" s="47"/>
      <c r="N199" s="41"/>
      <c r="O199" s="22"/>
      <c r="P199" s="22"/>
      <c r="Q199" s="45"/>
      <c r="S199" s="50"/>
      <c r="T199" s="50"/>
      <c r="U199" s="50"/>
      <c r="V199" s="50"/>
    </row>
    <row r="200" spans="1:22" s="2" customFormat="1" hidden="1" outlineLevel="1" x14ac:dyDescent="0.35">
      <c r="A200" s="8"/>
      <c r="B200" s="9" t="s">
        <v>78</v>
      </c>
      <c r="C200" s="9">
        <v>9.1999999999999993</v>
      </c>
      <c r="D200" s="9">
        <v>2.7</v>
      </c>
      <c r="E200" s="9">
        <v>1</v>
      </c>
      <c r="F200" s="10">
        <f t="shared" si="11"/>
        <v>24.84</v>
      </c>
      <c r="G200" s="10"/>
      <c r="H200" s="10"/>
      <c r="I200" s="10"/>
      <c r="J200" s="14"/>
      <c r="K200" s="14"/>
      <c r="L200" s="22"/>
      <c r="M200" s="47"/>
      <c r="N200" s="41"/>
      <c r="O200" s="22"/>
      <c r="P200" s="22"/>
      <c r="Q200" s="45"/>
      <c r="S200" s="50"/>
      <c r="T200" s="50"/>
      <c r="U200" s="50"/>
      <c r="V200" s="50"/>
    </row>
    <row r="201" spans="1:22" s="2" customFormat="1" hidden="1" outlineLevel="1" x14ac:dyDescent="0.35">
      <c r="A201" s="8"/>
      <c r="B201" s="9"/>
      <c r="C201" s="9"/>
      <c r="D201" s="9"/>
      <c r="E201" s="9"/>
      <c r="F201" s="10"/>
      <c r="G201" s="10"/>
      <c r="H201" s="10"/>
      <c r="I201" s="10"/>
      <c r="J201" s="14"/>
      <c r="K201" s="14"/>
      <c r="L201" s="22"/>
      <c r="M201" s="47"/>
      <c r="N201" s="41"/>
      <c r="O201" s="22"/>
      <c r="P201" s="22"/>
      <c r="Q201" s="45"/>
      <c r="S201" s="50"/>
      <c r="T201" s="50"/>
      <c r="U201" s="50"/>
      <c r="V201" s="50"/>
    </row>
    <row r="202" spans="1:22" s="2" customFormat="1" hidden="1" outlineLevel="1" x14ac:dyDescent="0.35">
      <c r="A202" s="8"/>
      <c r="B202" s="9"/>
      <c r="C202" s="9"/>
      <c r="D202" s="9"/>
      <c r="E202" s="9"/>
      <c r="F202" s="10"/>
      <c r="G202" s="10"/>
      <c r="H202" s="10"/>
      <c r="I202" s="10"/>
      <c r="J202" s="14"/>
      <c r="K202" s="14"/>
      <c r="L202" s="22"/>
      <c r="M202" s="47"/>
      <c r="N202" s="41"/>
      <c r="O202" s="22"/>
      <c r="P202" s="22"/>
      <c r="Q202" s="45"/>
      <c r="S202" s="50"/>
      <c r="T202" s="50"/>
      <c r="U202" s="50"/>
      <c r="V202" s="50"/>
    </row>
    <row r="203" spans="1:22" s="2" customFormat="1" hidden="1" outlineLevel="1" x14ac:dyDescent="0.35">
      <c r="A203" s="8"/>
      <c r="B203" s="9" t="s">
        <v>74</v>
      </c>
      <c r="C203" s="9">
        <v>6.4</v>
      </c>
      <c r="D203" s="9">
        <v>2.7</v>
      </c>
      <c r="E203" s="9">
        <v>1</v>
      </c>
      <c r="F203" s="10">
        <f t="shared" ref="F203:F213" si="12">+C203*D203*E203</f>
        <v>17.28</v>
      </c>
      <c r="G203" s="10"/>
      <c r="H203" s="10"/>
      <c r="I203" s="10"/>
      <c r="J203" s="14"/>
      <c r="K203" s="14"/>
      <c r="L203" s="22"/>
      <c r="M203" s="47"/>
      <c r="N203" s="41"/>
      <c r="O203" s="22"/>
      <c r="P203" s="22"/>
      <c r="Q203" s="45"/>
      <c r="S203" s="50"/>
      <c r="T203" s="50"/>
      <c r="U203" s="50"/>
      <c r="V203" s="50"/>
    </row>
    <row r="204" spans="1:22" s="2" customFormat="1" hidden="1" outlineLevel="1" x14ac:dyDescent="0.35">
      <c r="A204" s="8"/>
      <c r="B204" s="9" t="s">
        <v>72</v>
      </c>
      <c r="C204" s="9">
        <v>2.8</v>
      </c>
      <c r="D204" s="9">
        <v>2.7</v>
      </c>
      <c r="E204" s="9">
        <v>2</v>
      </c>
      <c r="F204" s="10">
        <f t="shared" si="12"/>
        <v>15.12</v>
      </c>
      <c r="G204" s="10"/>
      <c r="H204" s="10"/>
      <c r="I204" s="10"/>
      <c r="J204" s="14"/>
      <c r="K204" s="14"/>
      <c r="L204" s="22"/>
      <c r="M204" s="47"/>
      <c r="N204" s="41"/>
      <c r="O204" s="22"/>
      <c r="P204" s="22"/>
      <c r="Q204" s="45"/>
      <c r="S204" s="50"/>
      <c r="T204" s="50"/>
      <c r="U204" s="50"/>
      <c r="V204" s="50"/>
    </row>
    <row r="205" spans="1:22" s="2" customFormat="1" hidden="1" outlineLevel="1" x14ac:dyDescent="0.35">
      <c r="A205" s="8"/>
      <c r="B205" s="9"/>
      <c r="C205" s="9">
        <v>2</v>
      </c>
      <c r="D205" s="9">
        <v>2.7</v>
      </c>
      <c r="E205" s="9">
        <v>2</v>
      </c>
      <c r="F205" s="10">
        <f t="shared" si="12"/>
        <v>10.8</v>
      </c>
      <c r="G205" s="10"/>
      <c r="H205" s="10"/>
      <c r="I205" s="10"/>
      <c r="J205" s="14"/>
      <c r="K205" s="14"/>
      <c r="L205" s="22"/>
      <c r="M205" s="47"/>
      <c r="N205" s="41"/>
      <c r="O205" s="22"/>
      <c r="P205" s="22"/>
      <c r="Q205" s="45"/>
      <c r="S205" s="50"/>
      <c r="T205" s="50"/>
      <c r="U205" s="50"/>
      <c r="V205" s="50"/>
    </row>
    <row r="206" spans="1:22" s="2" customFormat="1" hidden="1" outlineLevel="1" x14ac:dyDescent="0.35">
      <c r="A206" s="8"/>
      <c r="B206" s="9" t="s">
        <v>70</v>
      </c>
      <c r="C206" s="9">
        <v>4.5</v>
      </c>
      <c r="D206" s="9">
        <v>2.7</v>
      </c>
      <c r="E206" s="9">
        <v>2</v>
      </c>
      <c r="F206" s="10">
        <f t="shared" si="12"/>
        <v>24.3</v>
      </c>
      <c r="G206" s="10"/>
      <c r="H206" s="10"/>
      <c r="I206" s="10"/>
      <c r="J206" s="14"/>
      <c r="K206" s="14"/>
      <c r="L206" s="22"/>
      <c r="M206" s="47"/>
      <c r="N206" s="41"/>
      <c r="O206" s="22"/>
      <c r="P206" s="22"/>
      <c r="Q206" s="45"/>
      <c r="S206" s="50"/>
      <c r="T206" s="50"/>
      <c r="U206" s="50"/>
      <c r="V206" s="50"/>
    </row>
    <row r="207" spans="1:22" s="2" customFormat="1" hidden="1" outlineLevel="1" x14ac:dyDescent="0.35">
      <c r="A207" s="8"/>
      <c r="B207" s="9"/>
      <c r="C207" s="9">
        <v>2</v>
      </c>
      <c r="D207" s="9">
        <v>2.7</v>
      </c>
      <c r="E207" s="9">
        <v>1</v>
      </c>
      <c r="F207" s="10">
        <f t="shared" si="12"/>
        <v>5.4</v>
      </c>
      <c r="G207" s="10"/>
      <c r="H207" s="10"/>
      <c r="I207" s="10"/>
      <c r="J207" s="14"/>
      <c r="K207" s="14"/>
      <c r="L207" s="22"/>
      <c r="M207" s="47"/>
      <c r="N207" s="41"/>
      <c r="O207" s="22"/>
      <c r="P207" s="22"/>
      <c r="Q207" s="45"/>
      <c r="S207" s="50"/>
      <c r="T207" s="50"/>
      <c r="U207" s="50"/>
      <c r="V207" s="50"/>
    </row>
    <row r="208" spans="1:22" s="2" customFormat="1" hidden="1" outlineLevel="1" x14ac:dyDescent="0.35">
      <c r="A208" s="8"/>
      <c r="B208" s="9" t="s">
        <v>80</v>
      </c>
      <c r="C208" s="9">
        <v>0.6</v>
      </c>
      <c r="D208" s="9">
        <v>2.7</v>
      </c>
      <c r="E208" s="9">
        <v>2</v>
      </c>
      <c r="F208" s="10">
        <f t="shared" si="12"/>
        <v>3.24</v>
      </c>
      <c r="G208" s="10"/>
      <c r="H208" s="10"/>
      <c r="I208" s="10"/>
      <c r="J208" s="14"/>
      <c r="K208" s="14"/>
      <c r="L208" s="22"/>
      <c r="M208" s="47"/>
      <c r="N208" s="41"/>
      <c r="O208" s="22"/>
      <c r="P208" s="22"/>
      <c r="Q208" s="45"/>
      <c r="S208" s="50"/>
      <c r="T208" s="50"/>
      <c r="U208" s="50"/>
      <c r="V208" s="50"/>
    </row>
    <row r="209" spans="1:22" s="2" customFormat="1" hidden="1" outlineLevel="1" x14ac:dyDescent="0.35">
      <c r="A209" s="8"/>
      <c r="B209" s="9" t="s">
        <v>75</v>
      </c>
      <c r="C209" s="9">
        <v>1.2</v>
      </c>
      <c r="D209" s="9">
        <v>2.7</v>
      </c>
      <c r="E209" s="9">
        <v>2</v>
      </c>
      <c r="F209" s="10">
        <f t="shared" si="12"/>
        <v>6.48</v>
      </c>
      <c r="G209" s="10"/>
      <c r="H209" s="10"/>
      <c r="I209" s="10"/>
      <c r="J209" s="14"/>
      <c r="K209" s="14"/>
      <c r="L209" s="22"/>
      <c r="M209" s="47"/>
      <c r="N209" s="41"/>
      <c r="O209" s="22"/>
      <c r="P209" s="22"/>
      <c r="Q209" s="45"/>
      <c r="S209" s="50"/>
      <c r="T209" s="50"/>
      <c r="U209" s="50"/>
      <c r="V209" s="50"/>
    </row>
    <row r="210" spans="1:22" s="2" customFormat="1" hidden="1" outlineLevel="1" x14ac:dyDescent="0.35">
      <c r="A210" s="8"/>
      <c r="B210" s="9"/>
      <c r="C210" s="9">
        <v>2</v>
      </c>
      <c r="D210" s="9">
        <v>2.7</v>
      </c>
      <c r="E210" s="9">
        <v>2</v>
      </c>
      <c r="F210" s="10">
        <f t="shared" si="12"/>
        <v>10.8</v>
      </c>
      <c r="G210" s="10"/>
      <c r="H210" s="10"/>
      <c r="I210" s="10"/>
      <c r="J210" s="14"/>
      <c r="K210" s="14"/>
      <c r="L210" s="22"/>
      <c r="M210" s="47"/>
      <c r="N210" s="41"/>
      <c r="O210" s="22"/>
      <c r="P210" s="22"/>
      <c r="Q210" s="45"/>
      <c r="S210" s="50"/>
      <c r="T210" s="50"/>
      <c r="U210" s="50"/>
      <c r="V210" s="50"/>
    </row>
    <row r="211" spans="1:22" s="2" customFormat="1" hidden="1" outlineLevel="1" x14ac:dyDescent="0.35">
      <c r="A211" s="8"/>
      <c r="B211" s="9" t="s">
        <v>76</v>
      </c>
      <c r="C211" s="9">
        <v>1</v>
      </c>
      <c r="D211" s="9">
        <v>2.7</v>
      </c>
      <c r="E211" s="9">
        <v>2</v>
      </c>
      <c r="F211" s="10">
        <f t="shared" si="12"/>
        <v>5.4</v>
      </c>
      <c r="G211" s="10"/>
      <c r="H211" s="10"/>
      <c r="I211" s="10"/>
      <c r="J211" s="14"/>
      <c r="K211" s="14"/>
      <c r="L211" s="22"/>
      <c r="M211" s="47"/>
      <c r="N211" s="41"/>
      <c r="O211" s="22"/>
      <c r="P211" s="22"/>
      <c r="Q211" s="45"/>
      <c r="S211" s="50"/>
      <c r="T211" s="50"/>
      <c r="U211" s="50"/>
      <c r="V211" s="50"/>
    </row>
    <row r="212" spans="1:22" s="2" customFormat="1" hidden="1" outlineLevel="1" x14ac:dyDescent="0.35">
      <c r="A212" s="8"/>
      <c r="B212" s="9"/>
      <c r="C212" s="9">
        <v>2</v>
      </c>
      <c r="D212" s="9">
        <v>2.7</v>
      </c>
      <c r="E212" s="9">
        <v>2</v>
      </c>
      <c r="F212" s="10">
        <f t="shared" si="12"/>
        <v>10.8</v>
      </c>
      <c r="G212" s="10"/>
      <c r="H212" s="10"/>
      <c r="I212" s="10"/>
      <c r="J212" s="14"/>
      <c r="K212" s="14"/>
      <c r="L212" s="22"/>
      <c r="M212" s="47"/>
      <c r="N212" s="41"/>
      <c r="O212" s="22"/>
      <c r="P212" s="22"/>
      <c r="Q212" s="45"/>
      <c r="S212" s="50"/>
      <c r="T212" s="50"/>
      <c r="U212" s="50"/>
      <c r="V212" s="50"/>
    </row>
    <row r="213" spans="1:22" s="2" customFormat="1" hidden="1" outlineLevel="1" x14ac:dyDescent="0.35">
      <c r="A213" s="8"/>
      <c r="B213" s="9" t="s">
        <v>78</v>
      </c>
      <c r="C213" s="9">
        <v>9.1999999999999993</v>
      </c>
      <c r="D213" s="9">
        <v>2.7</v>
      </c>
      <c r="E213" s="9">
        <v>1</v>
      </c>
      <c r="F213" s="10">
        <f t="shared" si="12"/>
        <v>24.84</v>
      </c>
      <c r="G213" s="10"/>
      <c r="H213" s="10"/>
      <c r="I213" s="10"/>
      <c r="J213" s="14"/>
      <c r="K213" s="14"/>
      <c r="L213" s="22"/>
      <c r="M213" s="47"/>
      <c r="N213" s="41"/>
      <c r="O213" s="22"/>
      <c r="P213" s="22"/>
      <c r="Q213" s="45"/>
      <c r="S213" s="50"/>
      <c r="T213" s="50"/>
      <c r="U213" s="50"/>
      <c r="V213" s="50"/>
    </row>
    <row r="214" spans="1:22" s="2" customFormat="1" hidden="1" outlineLevel="1" x14ac:dyDescent="0.35">
      <c r="A214" s="8"/>
      <c r="B214" s="9"/>
      <c r="C214" s="9"/>
      <c r="D214" s="9"/>
      <c r="E214" s="9"/>
      <c r="F214" s="10"/>
      <c r="G214" s="10"/>
      <c r="H214" s="10"/>
      <c r="I214" s="10"/>
      <c r="J214" s="14"/>
      <c r="K214" s="14"/>
      <c r="L214" s="22"/>
      <c r="M214" s="47"/>
      <c r="N214" s="41"/>
      <c r="O214" s="22"/>
      <c r="P214" s="22"/>
      <c r="Q214" s="45"/>
      <c r="S214" s="50"/>
      <c r="T214" s="50"/>
      <c r="U214" s="50"/>
      <c r="V214" s="50"/>
    </row>
    <row r="215" spans="1:22" s="2" customFormat="1" hidden="1" outlineLevel="1" x14ac:dyDescent="0.35">
      <c r="A215" s="8"/>
      <c r="B215" s="9" t="s">
        <v>77</v>
      </c>
      <c r="C215" s="9">
        <v>6.4</v>
      </c>
      <c r="D215" s="9">
        <v>2.7</v>
      </c>
      <c r="E215" s="9">
        <v>1</v>
      </c>
      <c r="F215" s="10">
        <f t="shared" ref="F215:F222" si="13">+C215*D215*E215</f>
        <v>17.28</v>
      </c>
      <c r="G215" s="10"/>
      <c r="H215" s="10"/>
      <c r="I215" s="10"/>
      <c r="J215" s="14"/>
      <c r="K215" s="14"/>
      <c r="L215" s="22"/>
      <c r="M215" s="47"/>
      <c r="N215" s="41"/>
      <c r="O215" s="22"/>
      <c r="P215" s="22"/>
      <c r="Q215" s="45"/>
      <c r="S215" s="50"/>
      <c r="T215" s="50"/>
      <c r="U215" s="50"/>
      <c r="V215" s="50"/>
    </row>
    <row r="216" spans="1:22" s="2" customFormat="1" hidden="1" outlineLevel="1" x14ac:dyDescent="0.35">
      <c r="A216" s="8"/>
      <c r="B216" s="9" t="s">
        <v>72</v>
      </c>
      <c r="C216" s="9">
        <v>5.3</v>
      </c>
      <c r="D216" s="9">
        <v>2.7</v>
      </c>
      <c r="E216" s="9">
        <v>2</v>
      </c>
      <c r="F216" s="10">
        <f t="shared" si="13"/>
        <v>28.62</v>
      </c>
      <c r="G216" s="10"/>
      <c r="H216" s="10"/>
      <c r="I216" s="10"/>
      <c r="J216" s="14"/>
      <c r="K216" s="14"/>
      <c r="L216" s="22"/>
      <c r="M216" s="47"/>
      <c r="N216" s="41"/>
      <c r="O216" s="22"/>
      <c r="P216" s="22"/>
      <c r="Q216" s="45"/>
      <c r="S216" s="50"/>
      <c r="T216" s="50"/>
      <c r="U216" s="50"/>
      <c r="V216" s="50"/>
    </row>
    <row r="217" spans="1:22" s="2" customFormat="1" hidden="1" outlineLevel="1" x14ac:dyDescent="0.35">
      <c r="A217" s="8"/>
      <c r="B217" s="9"/>
      <c r="C217" s="9">
        <v>2</v>
      </c>
      <c r="D217" s="9">
        <v>2.7</v>
      </c>
      <c r="E217" s="9">
        <v>2</v>
      </c>
      <c r="F217" s="10">
        <f t="shared" si="13"/>
        <v>10.8</v>
      </c>
      <c r="G217" s="10"/>
      <c r="H217" s="10"/>
      <c r="I217" s="10"/>
      <c r="J217" s="14"/>
      <c r="K217" s="14"/>
      <c r="L217" s="22"/>
      <c r="M217" s="47"/>
      <c r="N217" s="41"/>
      <c r="O217" s="22"/>
      <c r="P217" s="22"/>
      <c r="Q217" s="45"/>
      <c r="S217" s="50"/>
      <c r="T217" s="50"/>
      <c r="U217" s="50"/>
      <c r="V217" s="50"/>
    </row>
    <row r="218" spans="1:22" s="2" customFormat="1" hidden="1" outlineLevel="1" x14ac:dyDescent="0.35">
      <c r="A218" s="8"/>
      <c r="B218" s="9" t="s">
        <v>70</v>
      </c>
      <c r="C218" s="9">
        <v>3.8</v>
      </c>
      <c r="D218" s="9">
        <v>2.7</v>
      </c>
      <c r="E218" s="9">
        <v>2</v>
      </c>
      <c r="F218" s="10">
        <f t="shared" si="13"/>
        <v>20.52</v>
      </c>
      <c r="G218" s="10"/>
      <c r="H218" s="10"/>
      <c r="I218" s="10"/>
      <c r="J218" s="14"/>
      <c r="K218" s="14"/>
      <c r="L218" s="22"/>
      <c r="M218" s="47"/>
      <c r="N218" s="41"/>
      <c r="O218" s="22"/>
      <c r="P218" s="22"/>
      <c r="Q218" s="45"/>
      <c r="S218" s="50"/>
      <c r="T218" s="50"/>
      <c r="U218" s="50"/>
      <c r="V218" s="50"/>
    </row>
    <row r="219" spans="1:22" s="2" customFormat="1" hidden="1" outlineLevel="1" x14ac:dyDescent="0.35">
      <c r="A219" s="8"/>
      <c r="B219" s="9"/>
      <c r="C219" s="9">
        <v>2</v>
      </c>
      <c r="D219" s="9">
        <v>2.7</v>
      </c>
      <c r="E219" s="9">
        <v>2</v>
      </c>
      <c r="F219" s="10">
        <f t="shared" si="13"/>
        <v>10.8</v>
      </c>
      <c r="G219" s="10"/>
      <c r="H219" s="10"/>
      <c r="I219" s="10"/>
      <c r="J219" s="14"/>
      <c r="K219" s="14"/>
      <c r="L219" s="22"/>
      <c r="M219" s="47"/>
      <c r="N219" s="41"/>
      <c r="O219" s="22"/>
      <c r="P219" s="22"/>
      <c r="Q219" s="45"/>
      <c r="S219" s="50"/>
      <c r="T219" s="50"/>
      <c r="U219" s="50"/>
      <c r="V219" s="50"/>
    </row>
    <row r="220" spans="1:22" s="2" customFormat="1" hidden="1" outlineLevel="1" x14ac:dyDescent="0.35">
      <c r="A220" s="8"/>
      <c r="B220" s="9" t="s">
        <v>80</v>
      </c>
      <c r="C220" s="9">
        <v>0.6</v>
      </c>
      <c r="D220" s="9">
        <v>2.7</v>
      </c>
      <c r="E220" s="9">
        <v>2</v>
      </c>
      <c r="F220" s="10">
        <f t="shared" si="13"/>
        <v>3.24</v>
      </c>
      <c r="G220" s="10"/>
      <c r="H220" s="10"/>
      <c r="I220" s="10"/>
      <c r="J220" s="14"/>
      <c r="K220" s="14"/>
      <c r="L220" s="22"/>
      <c r="M220" s="47"/>
      <c r="N220" s="41"/>
      <c r="O220" s="22"/>
      <c r="P220" s="22"/>
      <c r="Q220" s="45"/>
      <c r="S220" s="50"/>
      <c r="T220" s="50"/>
      <c r="U220" s="50"/>
      <c r="V220" s="50"/>
    </row>
    <row r="221" spans="1:22" s="2" customFormat="1" hidden="1" outlineLevel="1" x14ac:dyDescent="0.35">
      <c r="A221" s="8"/>
      <c r="B221" s="9" t="s">
        <v>78</v>
      </c>
      <c r="C221" s="9">
        <v>9.1999999999999993</v>
      </c>
      <c r="D221" s="9">
        <v>2.7</v>
      </c>
      <c r="E221" s="9">
        <v>1</v>
      </c>
      <c r="F221" s="10">
        <f t="shared" si="13"/>
        <v>24.84</v>
      </c>
      <c r="G221" s="10"/>
      <c r="H221" s="10"/>
      <c r="I221" s="10"/>
      <c r="J221" s="14"/>
      <c r="K221" s="14"/>
      <c r="L221" s="22"/>
      <c r="M221" s="47"/>
      <c r="N221" s="41"/>
      <c r="O221" s="22"/>
      <c r="P221" s="22"/>
      <c r="Q221" s="45"/>
      <c r="S221" s="50"/>
      <c r="T221" s="50"/>
      <c r="U221" s="50"/>
      <c r="V221" s="50"/>
    </row>
    <row r="222" spans="1:22" s="2" customFormat="1" hidden="1" outlineLevel="1" x14ac:dyDescent="0.35">
      <c r="A222" s="8"/>
      <c r="B222" s="9"/>
      <c r="C222" s="9"/>
      <c r="D222" s="9">
        <v>1</v>
      </c>
      <c r="E222" s="9">
        <v>1</v>
      </c>
      <c r="F222" s="10">
        <f t="shared" si="13"/>
        <v>0</v>
      </c>
      <c r="G222" s="10"/>
      <c r="H222" s="10"/>
      <c r="I222" s="10"/>
      <c r="J222" s="14"/>
      <c r="K222" s="14"/>
      <c r="L222" s="22"/>
      <c r="M222" s="47"/>
      <c r="N222" s="41"/>
      <c r="O222" s="22"/>
      <c r="P222" s="22"/>
      <c r="Q222" s="45"/>
      <c r="S222" s="50"/>
      <c r="T222" s="50"/>
      <c r="U222" s="50"/>
      <c r="V222" s="50"/>
    </row>
    <row r="223" spans="1:22" s="2" customFormat="1" hidden="1" outlineLevel="1" x14ac:dyDescent="0.35">
      <c r="A223" s="8"/>
      <c r="B223" s="9"/>
      <c r="C223" s="9"/>
      <c r="D223" s="9"/>
      <c r="E223" s="9"/>
      <c r="F223" s="10"/>
      <c r="G223" s="10"/>
      <c r="H223" s="10"/>
      <c r="I223" s="10"/>
      <c r="J223" s="14"/>
      <c r="K223" s="14"/>
      <c r="L223" s="22"/>
      <c r="M223" s="47"/>
      <c r="N223" s="41"/>
      <c r="O223" s="22"/>
      <c r="P223" s="22"/>
      <c r="Q223" s="45"/>
      <c r="S223" s="50"/>
      <c r="T223" s="50"/>
      <c r="U223" s="50"/>
      <c r="V223" s="50"/>
    </row>
    <row r="224" spans="1:22" s="2" customFormat="1" hidden="1" outlineLevel="1" x14ac:dyDescent="0.35">
      <c r="A224" s="8"/>
      <c r="B224" s="9"/>
      <c r="C224" s="9"/>
      <c r="D224" s="9"/>
      <c r="E224" s="9"/>
      <c r="F224" s="10">
        <f>SUM(F194:F223)</f>
        <v>360.72000000000008</v>
      </c>
      <c r="G224" s="10"/>
      <c r="H224" s="10"/>
      <c r="I224" s="10"/>
      <c r="J224" s="14"/>
      <c r="K224" s="14"/>
      <c r="L224" s="22"/>
      <c r="M224" s="47"/>
      <c r="N224" s="41"/>
      <c r="O224" s="22"/>
      <c r="P224" s="22"/>
      <c r="Q224" s="45"/>
      <c r="S224" s="50"/>
      <c r="T224" s="50"/>
      <c r="U224" s="50"/>
      <c r="V224" s="50"/>
    </row>
    <row r="225" spans="1:22" collapsed="1" x14ac:dyDescent="0.35">
      <c r="A225" s="6"/>
      <c r="B225" s="56"/>
      <c r="C225" s="56"/>
      <c r="D225" s="56"/>
      <c r="E225" s="56"/>
      <c r="F225" s="6"/>
      <c r="G225" s="6"/>
      <c r="H225" s="6"/>
      <c r="I225" s="6"/>
      <c r="J225" s="14"/>
      <c r="K225" s="14"/>
      <c r="L225" s="21"/>
      <c r="M225" s="46"/>
      <c r="N225" s="40"/>
      <c r="O225" s="21"/>
      <c r="P225" s="21"/>
      <c r="Q225" s="45"/>
      <c r="S225" s="3"/>
      <c r="T225" s="3"/>
      <c r="U225" s="3"/>
      <c r="V225" s="3"/>
    </row>
    <row r="226" spans="1:22" x14ac:dyDescent="0.35">
      <c r="A226" s="6">
        <f>+A193+1</f>
        <v>17</v>
      </c>
      <c r="B226" s="57" t="s">
        <v>112</v>
      </c>
      <c r="C226" s="57"/>
      <c r="D226" s="57"/>
      <c r="E226" s="57"/>
      <c r="F226" s="58">
        <v>66</v>
      </c>
      <c r="G226" s="6" t="s">
        <v>10</v>
      </c>
      <c r="H226" s="6"/>
      <c r="I226" s="6" t="str">
        <f>+$Q$2</f>
        <v>??</v>
      </c>
      <c r="J226" s="14" t="e">
        <f>+F226*H226*I226</f>
        <v>#VALUE!</v>
      </c>
      <c r="K226" s="14"/>
      <c r="L226" s="21"/>
      <c r="M226" s="46">
        <v>0.1</v>
      </c>
      <c r="N226" s="40">
        <f>+L226*M226</f>
        <v>0</v>
      </c>
      <c r="O226" s="21"/>
      <c r="P226" s="21"/>
      <c r="Q226" s="45">
        <f>+(F226*L226)+(F226*N226)+O226+P226</f>
        <v>0</v>
      </c>
      <c r="S226" s="53" t="e">
        <f>+T226/F226</f>
        <v>#VALUE!</v>
      </c>
      <c r="T226" s="49" t="e">
        <f>+J226+K226+Q226</f>
        <v>#VALUE!</v>
      </c>
      <c r="U226" s="49"/>
      <c r="V226" s="53">
        <f>+F226*H226</f>
        <v>0</v>
      </c>
    </row>
    <row r="227" spans="1:22" s="2" customFormat="1" hidden="1" outlineLevel="1" x14ac:dyDescent="0.35">
      <c r="A227" s="8"/>
      <c r="B227" s="67" t="s">
        <v>91</v>
      </c>
      <c r="C227" s="9">
        <v>14.6</v>
      </c>
      <c r="D227" s="9">
        <v>1.6</v>
      </c>
      <c r="E227" s="9">
        <v>1</v>
      </c>
      <c r="F227" s="10">
        <f>+C227*D227*E227</f>
        <v>23.36</v>
      </c>
      <c r="G227" s="10"/>
      <c r="H227" s="10"/>
      <c r="I227" s="10"/>
      <c r="J227" s="14"/>
      <c r="K227" s="14"/>
      <c r="L227" s="22"/>
      <c r="M227" s="47"/>
      <c r="N227" s="41"/>
      <c r="O227" s="22"/>
      <c r="P227" s="22"/>
      <c r="Q227" s="45"/>
      <c r="S227" s="50"/>
      <c r="T227" s="50"/>
      <c r="U227" s="50"/>
      <c r="V227" s="50"/>
    </row>
    <row r="228" spans="1:22" s="2" customFormat="1" hidden="1" outlineLevel="1" x14ac:dyDescent="0.35">
      <c r="A228" s="8"/>
      <c r="B228" s="9" t="s">
        <v>107</v>
      </c>
      <c r="C228" s="9">
        <v>23</v>
      </c>
      <c r="D228" s="9">
        <v>0.6</v>
      </c>
      <c r="E228" s="9">
        <v>1</v>
      </c>
      <c r="F228" s="10">
        <f>+C228*D228*E228</f>
        <v>13.799999999999999</v>
      </c>
      <c r="G228" s="10"/>
      <c r="H228" s="10"/>
      <c r="I228" s="10"/>
      <c r="J228" s="14"/>
      <c r="K228" s="14"/>
      <c r="L228" s="22"/>
      <c r="M228" s="47"/>
      <c r="N228" s="41"/>
      <c r="O228" s="22"/>
      <c r="P228" s="22"/>
      <c r="Q228" s="45"/>
      <c r="S228" s="50"/>
      <c r="T228" s="50"/>
      <c r="U228" s="50"/>
      <c r="V228" s="50"/>
    </row>
    <row r="229" spans="1:22" s="2" customFormat="1" hidden="1" outlineLevel="1" x14ac:dyDescent="0.35">
      <c r="A229" s="8"/>
      <c r="B229" s="9"/>
      <c r="C229" s="9"/>
      <c r="D229" s="9"/>
      <c r="E229" s="9"/>
      <c r="F229" s="10"/>
      <c r="G229" s="10"/>
      <c r="H229" s="10"/>
      <c r="I229" s="10"/>
      <c r="J229" s="14"/>
      <c r="K229" s="14"/>
      <c r="L229" s="22"/>
      <c r="M229" s="47"/>
      <c r="N229" s="41"/>
      <c r="O229" s="22"/>
      <c r="P229" s="22"/>
      <c r="Q229" s="45"/>
      <c r="S229" s="50"/>
      <c r="T229" s="50"/>
      <c r="U229" s="50"/>
      <c r="V229" s="50"/>
    </row>
    <row r="230" spans="1:22" s="2" customFormat="1" hidden="1" outlineLevel="1" x14ac:dyDescent="0.35">
      <c r="A230" s="8"/>
      <c r="B230" s="9"/>
      <c r="C230" s="9"/>
      <c r="D230" s="9"/>
      <c r="E230" s="9"/>
      <c r="F230" s="10">
        <f>SUM(F227:F229)</f>
        <v>37.159999999999997</v>
      </c>
      <c r="G230" s="10"/>
      <c r="H230" s="10"/>
      <c r="I230" s="10"/>
      <c r="J230" s="14"/>
      <c r="K230" s="14"/>
      <c r="L230" s="22"/>
      <c r="M230" s="47"/>
      <c r="N230" s="41"/>
      <c r="O230" s="22"/>
      <c r="P230" s="22"/>
      <c r="Q230" s="45"/>
      <c r="S230" s="50"/>
      <c r="T230" s="50"/>
      <c r="U230" s="50"/>
      <c r="V230" s="50"/>
    </row>
    <row r="231" spans="1:22" collapsed="1" x14ac:dyDescent="0.35">
      <c r="A231" s="6"/>
      <c r="B231" s="56"/>
      <c r="C231" s="56"/>
      <c r="D231" s="56"/>
      <c r="E231" s="56"/>
      <c r="F231" s="6"/>
      <c r="G231" s="6"/>
      <c r="H231" s="6"/>
      <c r="I231" s="6"/>
      <c r="J231" s="14"/>
      <c r="K231" s="14"/>
      <c r="L231" s="21"/>
      <c r="M231" s="46"/>
      <c r="N231" s="40"/>
      <c r="O231" s="21"/>
      <c r="P231" s="21"/>
      <c r="Q231" s="45"/>
      <c r="S231" s="3"/>
      <c r="T231" s="3"/>
      <c r="U231" s="3"/>
      <c r="V231" s="3"/>
    </row>
    <row r="232" spans="1:22" x14ac:dyDescent="0.35">
      <c r="A232" s="81">
        <f>+A226+1</f>
        <v>18</v>
      </c>
      <c r="B232" s="57" t="s">
        <v>79</v>
      </c>
      <c r="C232" s="57"/>
      <c r="D232" s="57"/>
      <c r="E232" s="57"/>
      <c r="F232" s="58">
        <v>88</v>
      </c>
      <c r="G232" s="6" t="s">
        <v>10</v>
      </c>
      <c r="H232" s="6"/>
      <c r="I232" s="6" t="str">
        <f>+$Q$2</f>
        <v>??</v>
      </c>
      <c r="J232" s="14" t="e">
        <f>+F232*H232*I232</f>
        <v>#VALUE!</v>
      </c>
      <c r="K232" s="14"/>
      <c r="L232" s="21"/>
      <c r="M232" s="46">
        <v>0.1</v>
      </c>
      <c r="N232" s="40">
        <f>+L232*M232</f>
        <v>0</v>
      </c>
      <c r="O232" s="21"/>
      <c r="P232" s="21"/>
      <c r="Q232" s="45">
        <f>+(F232*L232)+(F232*N232)+O232+P232</f>
        <v>0</v>
      </c>
      <c r="S232" s="53" t="e">
        <f>+T232/F232</f>
        <v>#VALUE!</v>
      </c>
      <c r="T232" s="49" t="e">
        <f>+J232+K232+Q232</f>
        <v>#VALUE!</v>
      </c>
      <c r="U232" s="49"/>
      <c r="V232" s="53">
        <f>+F232*H232</f>
        <v>0</v>
      </c>
    </row>
    <row r="233" spans="1:22" s="2" customFormat="1" hidden="1" outlineLevel="1" x14ac:dyDescent="0.35">
      <c r="A233" s="8"/>
      <c r="B233" s="9" t="s">
        <v>81</v>
      </c>
      <c r="C233" s="9">
        <v>0.6</v>
      </c>
      <c r="D233" s="9">
        <v>2.7</v>
      </c>
      <c r="E233" s="9">
        <v>14</v>
      </c>
      <c r="F233" s="10">
        <f>+C233*D233*E233</f>
        <v>22.68</v>
      </c>
      <c r="G233" s="10"/>
      <c r="H233" s="10"/>
      <c r="I233" s="10"/>
      <c r="J233" s="14"/>
      <c r="K233" s="14"/>
      <c r="L233" s="22"/>
      <c r="M233" s="47"/>
      <c r="N233" s="41"/>
      <c r="O233" s="22"/>
      <c r="P233" s="22"/>
      <c r="Q233" s="45"/>
      <c r="S233" s="50"/>
      <c r="T233" s="50"/>
      <c r="U233" s="50"/>
      <c r="V233" s="50"/>
    </row>
    <row r="234" spans="1:22" s="2" customFormat="1" hidden="1" outlineLevel="1" x14ac:dyDescent="0.35">
      <c r="A234" s="8"/>
      <c r="B234" s="9"/>
      <c r="C234" s="9"/>
      <c r="D234" s="9"/>
      <c r="E234" s="9"/>
      <c r="F234" s="10"/>
      <c r="G234" s="10"/>
      <c r="H234" s="10"/>
      <c r="I234" s="10"/>
      <c r="J234" s="14"/>
      <c r="K234" s="14"/>
      <c r="L234" s="22"/>
      <c r="M234" s="47"/>
      <c r="N234" s="41"/>
      <c r="O234" s="22"/>
      <c r="P234" s="22"/>
      <c r="Q234" s="45"/>
      <c r="S234" s="50"/>
      <c r="T234" s="50"/>
      <c r="U234" s="50"/>
      <c r="V234" s="50"/>
    </row>
    <row r="235" spans="1:22" s="2" customFormat="1" hidden="1" outlineLevel="1" x14ac:dyDescent="0.35">
      <c r="A235" s="8"/>
      <c r="B235" s="9" t="s">
        <v>82</v>
      </c>
      <c r="C235" s="9">
        <v>0.6</v>
      </c>
      <c r="D235" s="9">
        <v>2.7</v>
      </c>
      <c r="E235" s="9">
        <v>14</v>
      </c>
      <c r="F235" s="10">
        <f>+C235*D235*E235</f>
        <v>22.68</v>
      </c>
      <c r="G235" s="10"/>
      <c r="H235" s="10"/>
      <c r="I235" s="10"/>
      <c r="J235" s="14"/>
      <c r="K235" s="14"/>
      <c r="L235" s="22"/>
      <c r="M235" s="47"/>
      <c r="N235" s="41"/>
      <c r="O235" s="22"/>
      <c r="P235" s="22"/>
      <c r="Q235" s="45"/>
      <c r="S235" s="50"/>
      <c r="T235" s="50"/>
      <c r="U235" s="50"/>
      <c r="V235" s="50"/>
    </row>
    <row r="236" spans="1:22" s="2" customFormat="1" hidden="1" outlineLevel="1" x14ac:dyDescent="0.35">
      <c r="A236" s="8"/>
      <c r="B236" s="9"/>
      <c r="C236" s="9"/>
      <c r="D236" s="9"/>
      <c r="E236" s="9"/>
      <c r="F236" s="10"/>
      <c r="G236" s="10"/>
      <c r="H236" s="10"/>
      <c r="I236" s="10"/>
      <c r="J236" s="14"/>
      <c r="K236" s="14"/>
      <c r="L236" s="22"/>
      <c r="M236" s="47"/>
      <c r="N236" s="41"/>
      <c r="O236" s="22"/>
      <c r="P236" s="22"/>
      <c r="Q236" s="45"/>
      <c r="S236" s="50"/>
      <c r="T236" s="50"/>
      <c r="U236" s="50"/>
      <c r="V236" s="50"/>
    </row>
    <row r="237" spans="1:22" s="2" customFormat="1" hidden="1" outlineLevel="1" x14ac:dyDescent="0.35">
      <c r="A237" s="8"/>
      <c r="B237" s="9" t="s">
        <v>83</v>
      </c>
      <c r="C237" s="9">
        <v>0.6</v>
      </c>
      <c r="D237" s="9">
        <v>2.7</v>
      </c>
      <c r="E237" s="9">
        <v>14</v>
      </c>
      <c r="F237" s="10">
        <f>+C237*D237*E237</f>
        <v>22.68</v>
      </c>
      <c r="G237" s="10"/>
      <c r="H237" s="10"/>
      <c r="I237" s="10"/>
      <c r="J237" s="14"/>
      <c r="K237" s="14"/>
      <c r="L237" s="22"/>
      <c r="M237" s="47"/>
      <c r="N237" s="41"/>
      <c r="O237" s="22"/>
      <c r="P237" s="22"/>
      <c r="Q237" s="45"/>
      <c r="S237" s="50"/>
      <c r="T237" s="50"/>
      <c r="U237" s="50"/>
      <c r="V237" s="50"/>
    </row>
    <row r="238" spans="1:22" s="2" customFormat="1" hidden="1" outlineLevel="1" x14ac:dyDescent="0.35">
      <c r="A238" s="8"/>
      <c r="B238" s="9"/>
      <c r="C238" s="9"/>
      <c r="D238" s="9">
        <v>1</v>
      </c>
      <c r="E238" s="9">
        <v>1</v>
      </c>
      <c r="F238" s="10">
        <f>+C238*D238*E238</f>
        <v>0</v>
      </c>
      <c r="G238" s="10"/>
      <c r="H238" s="10"/>
      <c r="I238" s="10"/>
      <c r="J238" s="14"/>
      <c r="K238" s="14"/>
      <c r="L238" s="22"/>
      <c r="M238" s="47"/>
      <c r="N238" s="41"/>
      <c r="O238" s="22"/>
      <c r="P238" s="22"/>
      <c r="Q238" s="45"/>
      <c r="S238" s="50"/>
      <c r="T238" s="50"/>
      <c r="U238" s="50"/>
      <c r="V238" s="50"/>
    </row>
    <row r="239" spans="1:22" s="2" customFormat="1" hidden="1" outlineLevel="1" x14ac:dyDescent="0.35">
      <c r="A239" s="8"/>
      <c r="B239" s="9"/>
      <c r="C239" s="9"/>
      <c r="D239" s="9"/>
      <c r="E239" s="9"/>
      <c r="F239" s="10"/>
      <c r="G239" s="10"/>
      <c r="H239" s="10"/>
      <c r="I239" s="10"/>
      <c r="J239" s="14"/>
      <c r="K239" s="14"/>
      <c r="L239" s="22"/>
      <c r="M239" s="47"/>
      <c r="N239" s="41"/>
      <c r="O239" s="22"/>
      <c r="P239" s="22"/>
      <c r="Q239" s="45"/>
      <c r="S239" s="50"/>
      <c r="T239" s="50"/>
      <c r="U239" s="50"/>
      <c r="V239" s="50"/>
    </row>
    <row r="240" spans="1:22" s="2" customFormat="1" hidden="1" outlineLevel="1" x14ac:dyDescent="0.35">
      <c r="A240" s="8"/>
      <c r="B240" s="9"/>
      <c r="C240" s="9"/>
      <c r="D240" s="9"/>
      <c r="E240" s="9"/>
      <c r="F240" s="10">
        <f>SUM(F233:F239)</f>
        <v>68.039999999999992</v>
      </c>
      <c r="G240" s="10"/>
      <c r="H240" s="10"/>
      <c r="I240" s="10"/>
      <c r="J240" s="14"/>
      <c r="K240" s="14"/>
      <c r="L240" s="22"/>
      <c r="M240" s="47"/>
      <c r="N240" s="41"/>
      <c r="O240" s="22"/>
      <c r="P240" s="22"/>
      <c r="Q240" s="45"/>
      <c r="S240" s="50"/>
      <c r="T240" s="50"/>
      <c r="U240" s="50"/>
      <c r="V240" s="50"/>
    </row>
    <row r="241" spans="1:22" collapsed="1" x14ac:dyDescent="0.35">
      <c r="A241" s="6"/>
      <c r="B241" s="56"/>
      <c r="C241" s="56"/>
      <c r="D241" s="56"/>
      <c r="E241" s="56"/>
      <c r="F241" s="6"/>
      <c r="G241" s="6"/>
      <c r="H241" s="6"/>
      <c r="I241" s="6"/>
      <c r="J241" s="14"/>
      <c r="K241" s="14"/>
      <c r="L241" s="21"/>
      <c r="M241" s="46"/>
      <c r="N241" s="40"/>
      <c r="O241" s="21"/>
      <c r="P241" s="21"/>
      <c r="Q241" s="45"/>
      <c r="S241" s="3"/>
      <c r="T241" s="3"/>
      <c r="U241" s="3"/>
      <c r="V241" s="3"/>
    </row>
    <row r="242" spans="1:22" x14ac:dyDescent="0.35">
      <c r="A242" s="6">
        <f>+A232+1</f>
        <v>19</v>
      </c>
      <c r="B242" s="57" t="s">
        <v>84</v>
      </c>
      <c r="C242" s="57"/>
      <c r="D242" s="57"/>
      <c r="E242" s="57"/>
      <c r="F242" s="58">
        <f>+ROUNDUP(F246,0)</f>
        <v>153</v>
      </c>
      <c r="G242" s="6" t="s">
        <v>10</v>
      </c>
      <c r="H242" s="6"/>
      <c r="I242" s="6" t="str">
        <f>+$Q$2</f>
        <v>??</v>
      </c>
      <c r="J242" s="14" t="e">
        <f>+F242*H242*I242</f>
        <v>#VALUE!</v>
      </c>
      <c r="K242" s="14"/>
      <c r="L242" s="21"/>
      <c r="M242" s="46">
        <v>0.1</v>
      </c>
      <c r="N242" s="40">
        <f>+L242*M242</f>
        <v>0</v>
      </c>
      <c r="O242" s="21"/>
      <c r="P242" s="21"/>
      <c r="Q242" s="45">
        <f>+(F242*L242)+(F242*N242)+O242+P242</f>
        <v>0</v>
      </c>
      <c r="S242" s="53" t="e">
        <f>+T242/F242</f>
        <v>#VALUE!</v>
      </c>
      <c r="T242" s="49" t="e">
        <f>+J242+K242+Q242</f>
        <v>#VALUE!</v>
      </c>
      <c r="U242" s="49"/>
      <c r="V242" s="53">
        <f>+F242*H242</f>
        <v>0</v>
      </c>
    </row>
    <row r="243" spans="1:22" s="2" customFormat="1" hidden="1" outlineLevel="1" x14ac:dyDescent="0.35">
      <c r="A243" s="8"/>
      <c r="B243" s="67" t="s">
        <v>87</v>
      </c>
      <c r="C243" s="9">
        <v>13.5</v>
      </c>
      <c r="D243" s="9">
        <v>11.3</v>
      </c>
      <c r="E243" s="9">
        <v>1</v>
      </c>
      <c r="F243" s="10">
        <f>+C243*D243*E243</f>
        <v>152.55000000000001</v>
      </c>
      <c r="G243" s="10"/>
      <c r="H243" s="10"/>
      <c r="I243" s="10"/>
      <c r="J243" s="14"/>
      <c r="K243" s="14"/>
      <c r="L243" s="22"/>
      <c r="M243" s="47"/>
      <c r="N243" s="41"/>
      <c r="O243" s="22"/>
      <c r="P243" s="22"/>
      <c r="Q243" s="45"/>
      <c r="S243" s="50"/>
      <c r="T243" s="50"/>
      <c r="U243" s="50"/>
      <c r="V243" s="50"/>
    </row>
    <row r="244" spans="1:22" s="2" customFormat="1" hidden="1" outlineLevel="1" x14ac:dyDescent="0.35">
      <c r="A244" s="8"/>
      <c r="B244" s="9"/>
      <c r="C244" s="9"/>
      <c r="D244" s="9"/>
      <c r="E244" s="9"/>
      <c r="F244" s="10"/>
      <c r="G244" s="10"/>
      <c r="H244" s="10"/>
      <c r="I244" s="10"/>
      <c r="J244" s="14"/>
      <c r="K244" s="14"/>
      <c r="L244" s="22"/>
      <c r="M244" s="47"/>
      <c r="N244" s="41"/>
      <c r="O244" s="22"/>
      <c r="P244" s="22"/>
      <c r="Q244" s="45"/>
      <c r="S244" s="50"/>
      <c r="T244" s="50"/>
      <c r="U244" s="50"/>
      <c r="V244" s="50"/>
    </row>
    <row r="245" spans="1:22" s="2" customFormat="1" hidden="1" outlineLevel="1" x14ac:dyDescent="0.35">
      <c r="A245" s="8"/>
      <c r="B245" s="9"/>
      <c r="C245" s="9"/>
      <c r="D245" s="9"/>
      <c r="E245" s="9"/>
      <c r="F245" s="10"/>
      <c r="G245" s="10"/>
      <c r="H245" s="10"/>
      <c r="I245" s="10"/>
      <c r="J245" s="14"/>
      <c r="K245" s="14"/>
      <c r="L245" s="22"/>
      <c r="M245" s="47"/>
      <c r="N245" s="41"/>
      <c r="O245" s="22"/>
      <c r="P245" s="22"/>
      <c r="Q245" s="45"/>
      <c r="S245" s="50"/>
      <c r="T245" s="50"/>
      <c r="U245" s="50"/>
      <c r="V245" s="50"/>
    </row>
    <row r="246" spans="1:22" s="2" customFormat="1" hidden="1" outlineLevel="1" x14ac:dyDescent="0.35">
      <c r="A246" s="8"/>
      <c r="B246" s="9"/>
      <c r="C246" s="9"/>
      <c r="D246" s="9"/>
      <c r="E246" s="9"/>
      <c r="F246" s="10">
        <f>SUM(F243:F245)</f>
        <v>152.55000000000001</v>
      </c>
      <c r="G246" s="10"/>
      <c r="H246" s="10"/>
      <c r="I246" s="10"/>
      <c r="J246" s="14"/>
      <c r="K246" s="14"/>
      <c r="L246" s="22"/>
      <c r="M246" s="47"/>
      <c r="N246" s="41"/>
      <c r="O246" s="22"/>
      <c r="P246" s="22"/>
      <c r="Q246" s="45"/>
      <c r="S246" s="50"/>
      <c r="T246" s="50"/>
      <c r="U246" s="50"/>
      <c r="V246" s="50"/>
    </row>
    <row r="247" spans="1:22" collapsed="1" x14ac:dyDescent="0.35">
      <c r="A247" s="6"/>
      <c r="B247" s="56"/>
      <c r="C247" s="56"/>
      <c r="D247" s="56"/>
      <c r="E247" s="56"/>
      <c r="F247" s="6"/>
      <c r="G247" s="6"/>
      <c r="H247" s="6"/>
      <c r="I247" s="6"/>
      <c r="J247" s="14"/>
      <c r="K247" s="14"/>
      <c r="L247" s="21"/>
      <c r="M247" s="46"/>
      <c r="N247" s="40"/>
      <c r="O247" s="21"/>
      <c r="P247" s="21"/>
      <c r="Q247" s="45"/>
      <c r="S247" s="3"/>
      <c r="T247" s="3"/>
      <c r="U247" s="3"/>
      <c r="V247" s="3"/>
    </row>
    <row r="248" spans="1:22" x14ac:dyDescent="0.35">
      <c r="A248" s="6">
        <f>+A242+1</f>
        <v>20</v>
      </c>
      <c r="B248" s="57" t="s">
        <v>86</v>
      </c>
      <c r="C248" s="57"/>
      <c r="D248" s="57"/>
      <c r="E248" s="57"/>
      <c r="F248" s="58">
        <f>+ROUNDUP(F252,0)</f>
        <v>153</v>
      </c>
      <c r="G248" s="6" t="s">
        <v>10</v>
      </c>
      <c r="H248" s="6"/>
      <c r="I248" s="6" t="str">
        <f>+$Q$2</f>
        <v>??</v>
      </c>
      <c r="J248" s="14" t="e">
        <f>+F248*H248*I248</f>
        <v>#VALUE!</v>
      </c>
      <c r="K248" s="14"/>
      <c r="L248" s="21"/>
      <c r="M248" s="46">
        <v>0.1</v>
      </c>
      <c r="N248" s="40">
        <f>+L248*M248</f>
        <v>0</v>
      </c>
      <c r="O248" s="21"/>
      <c r="P248" s="21"/>
      <c r="Q248" s="45">
        <f>+(F248*L248)+(F248*N248)+O248+P248</f>
        <v>0</v>
      </c>
      <c r="S248" s="53" t="e">
        <f>+T248/F248</f>
        <v>#VALUE!</v>
      </c>
      <c r="T248" s="49" t="e">
        <f>+J248+K248+Q248</f>
        <v>#VALUE!</v>
      </c>
      <c r="U248" s="49"/>
      <c r="V248" s="53">
        <f>+F248*H248</f>
        <v>0</v>
      </c>
    </row>
    <row r="249" spans="1:22" s="2" customFormat="1" hidden="1" outlineLevel="1" x14ac:dyDescent="0.35">
      <c r="A249" s="8"/>
      <c r="B249" s="67" t="s">
        <v>87</v>
      </c>
      <c r="C249" s="9">
        <v>13.5</v>
      </c>
      <c r="D249" s="9">
        <v>11.3</v>
      </c>
      <c r="E249" s="9">
        <v>1</v>
      </c>
      <c r="F249" s="10">
        <f>+C249*D249*E249</f>
        <v>152.55000000000001</v>
      </c>
      <c r="G249" s="10"/>
      <c r="H249" s="10"/>
      <c r="I249" s="10"/>
      <c r="J249" s="14"/>
      <c r="K249" s="14"/>
      <c r="L249" s="22"/>
      <c r="M249" s="47"/>
      <c r="N249" s="41"/>
      <c r="O249" s="22"/>
      <c r="P249" s="22"/>
      <c r="Q249" s="45"/>
      <c r="S249" s="50"/>
      <c r="T249" s="50"/>
      <c r="U249" s="50"/>
      <c r="V249" s="50"/>
    </row>
    <row r="250" spans="1:22" s="2" customFormat="1" hidden="1" outlineLevel="1" x14ac:dyDescent="0.35">
      <c r="A250" s="8"/>
      <c r="B250" s="9"/>
      <c r="C250" s="9"/>
      <c r="D250" s="9"/>
      <c r="E250" s="9"/>
      <c r="F250" s="10"/>
      <c r="G250" s="10"/>
      <c r="H250" s="10"/>
      <c r="I250" s="10"/>
      <c r="J250" s="14"/>
      <c r="K250" s="14"/>
      <c r="L250" s="22"/>
      <c r="M250" s="47"/>
      <c r="N250" s="41"/>
      <c r="O250" s="22"/>
      <c r="P250" s="22"/>
      <c r="Q250" s="45"/>
      <c r="S250" s="50"/>
      <c r="T250" s="50"/>
      <c r="U250" s="50"/>
      <c r="V250" s="50"/>
    </row>
    <row r="251" spans="1:22" s="2" customFormat="1" hidden="1" outlineLevel="1" x14ac:dyDescent="0.35">
      <c r="A251" s="8"/>
      <c r="B251" s="9"/>
      <c r="C251" s="9"/>
      <c r="D251" s="9"/>
      <c r="E251" s="9"/>
      <c r="F251" s="10"/>
      <c r="G251" s="10"/>
      <c r="H251" s="10"/>
      <c r="I251" s="10"/>
      <c r="J251" s="14"/>
      <c r="K251" s="14"/>
      <c r="L251" s="22"/>
      <c r="M251" s="47"/>
      <c r="N251" s="41"/>
      <c r="O251" s="22"/>
      <c r="P251" s="22"/>
      <c r="Q251" s="45"/>
      <c r="S251" s="50"/>
      <c r="T251" s="50"/>
      <c r="U251" s="50"/>
      <c r="V251" s="50"/>
    </row>
    <row r="252" spans="1:22" s="2" customFormat="1" hidden="1" outlineLevel="1" x14ac:dyDescent="0.35">
      <c r="A252" s="8"/>
      <c r="B252" s="9"/>
      <c r="C252" s="9"/>
      <c r="D252" s="9"/>
      <c r="E252" s="9"/>
      <c r="F252" s="10">
        <f>SUM(F249:F251)</f>
        <v>152.55000000000001</v>
      </c>
      <c r="G252" s="10"/>
      <c r="H252" s="10"/>
      <c r="I252" s="10"/>
      <c r="J252" s="14"/>
      <c r="K252" s="14"/>
      <c r="L252" s="22"/>
      <c r="M252" s="47"/>
      <c r="N252" s="41"/>
      <c r="O252" s="22"/>
      <c r="P252" s="22"/>
      <c r="Q252" s="45"/>
      <c r="S252" s="50"/>
      <c r="T252" s="50"/>
      <c r="U252" s="50"/>
      <c r="V252" s="50"/>
    </row>
    <row r="253" spans="1:22" collapsed="1" x14ac:dyDescent="0.35">
      <c r="A253" s="6"/>
      <c r="B253" s="56"/>
      <c r="C253" s="56"/>
      <c r="D253" s="56"/>
      <c r="E253" s="56"/>
      <c r="F253" s="6"/>
      <c r="G253" s="6"/>
      <c r="H253" s="6"/>
      <c r="I253" s="6"/>
      <c r="J253" s="14"/>
      <c r="K253" s="14"/>
      <c r="L253" s="21"/>
      <c r="M253" s="46"/>
      <c r="N253" s="40"/>
      <c r="O253" s="21"/>
      <c r="P253" s="21"/>
      <c r="Q253" s="45"/>
      <c r="S253" s="3"/>
      <c r="T253" s="3"/>
      <c r="U253" s="3"/>
      <c r="V253" s="3"/>
    </row>
    <row r="254" spans="1:22" x14ac:dyDescent="0.35">
      <c r="A254" s="6">
        <f>+A248+1</f>
        <v>21</v>
      </c>
      <c r="B254" s="57" t="s">
        <v>110</v>
      </c>
      <c r="C254" s="57"/>
      <c r="D254" s="57"/>
      <c r="E254" s="57"/>
      <c r="F254" s="58">
        <f>+ROUNDUP(F259,0)</f>
        <v>60</v>
      </c>
      <c r="G254" s="6" t="s">
        <v>10</v>
      </c>
      <c r="H254" s="6"/>
      <c r="I254" s="6" t="str">
        <f>+$Q$2</f>
        <v>??</v>
      </c>
      <c r="J254" s="14" t="e">
        <f>+F254*H254*I254</f>
        <v>#VALUE!</v>
      </c>
      <c r="K254" s="14"/>
      <c r="L254" s="21"/>
      <c r="M254" s="46">
        <v>0.1</v>
      </c>
      <c r="N254" s="40">
        <f>+L254*M254</f>
        <v>0</v>
      </c>
      <c r="O254" s="21"/>
      <c r="P254" s="21"/>
      <c r="Q254" s="45">
        <f>+(F254*L254)+(F254*N254)+O254+P254</f>
        <v>0</v>
      </c>
      <c r="S254" s="53" t="e">
        <f>+T254/F254</f>
        <v>#VALUE!</v>
      </c>
      <c r="T254" s="49" t="e">
        <f>+J254+K254+Q254</f>
        <v>#VALUE!</v>
      </c>
      <c r="U254" s="49"/>
      <c r="V254" s="53">
        <f>+F254*H254</f>
        <v>0</v>
      </c>
    </row>
    <row r="255" spans="1:22" s="2" customFormat="1" hidden="1" outlineLevel="1" x14ac:dyDescent="0.35">
      <c r="A255" s="8"/>
      <c r="B255" s="67" t="s">
        <v>88</v>
      </c>
      <c r="C255" s="9">
        <v>14</v>
      </c>
      <c r="D255" s="9">
        <v>0.5</v>
      </c>
      <c r="E255" s="9">
        <v>2</v>
      </c>
      <c r="F255" s="10">
        <f>+C255*D255*E255</f>
        <v>14</v>
      </c>
      <c r="G255" s="10"/>
      <c r="H255" s="10"/>
      <c r="I255" s="10"/>
      <c r="J255" s="14"/>
      <c r="K255" s="14"/>
      <c r="L255" s="22"/>
      <c r="M255" s="47"/>
      <c r="N255" s="41"/>
      <c r="O255" s="22"/>
      <c r="P255" s="22"/>
      <c r="Q255" s="45"/>
      <c r="S255" s="50"/>
      <c r="T255" s="50"/>
      <c r="U255" s="50"/>
      <c r="V255" s="50"/>
    </row>
    <row r="256" spans="1:22" s="2" customFormat="1" hidden="1" outlineLevel="1" x14ac:dyDescent="0.35">
      <c r="A256" s="8"/>
      <c r="B256" s="9"/>
      <c r="C256" s="9">
        <v>23</v>
      </c>
      <c r="D256" s="9">
        <v>0.5</v>
      </c>
      <c r="E256" s="9">
        <v>4</v>
      </c>
      <c r="F256" s="10">
        <f>+C256*D256*E256</f>
        <v>46</v>
      </c>
      <c r="G256" s="10"/>
      <c r="H256" s="10"/>
      <c r="I256" s="10"/>
      <c r="J256" s="14"/>
      <c r="K256" s="14"/>
      <c r="L256" s="22"/>
      <c r="M256" s="47"/>
      <c r="N256" s="41"/>
      <c r="O256" s="22"/>
      <c r="P256" s="22"/>
      <c r="Q256" s="45"/>
      <c r="S256" s="50"/>
      <c r="T256" s="50"/>
      <c r="U256" s="50"/>
      <c r="V256" s="50"/>
    </row>
    <row r="257" spans="1:22" s="2" customFormat="1" hidden="1" outlineLevel="1" x14ac:dyDescent="0.35">
      <c r="A257" s="8"/>
      <c r="B257" s="9"/>
      <c r="C257" s="9"/>
      <c r="D257" s="9"/>
      <c r="E257" s="9"/>
      <c r="F257" s="10"/>
      <c r="G257" s="10"/>
      <c r="H257" s="10"/>
      <c r="I257" s="10"/>
      <c r="J257" s="14"/>
      <c r="K257" s="14"/>
      <c r="L257" s="22"/>
      <c r="M257" s="47"/>
      <c r="N257" s="41"/>
      <c r="O257" s="22"/>
      <c r="P257" s="22"/>
      <c r="Q257" s="45"/>
      <c r="S257" s="50"/>
      <c r="T257" s="50"/>
      <c r="U257" s="50"/>
      <c r="V257" s="50"/>
    </row>
    <row r="258" spans="1:22" s="2" customFormat="1" hidden="1" outlineLevel="1" x14ac:dyDescent="0.35">
      <c r="A258" s="8"/>
      <c r="B258" s="9"/>
      <c r="C258" s="9"/>
      <c r="D258" s="9"/>
      <c r="E258" s="9"/>
      <c r="F258" s="10"/>
      <c r="G258" s="10"/>
      <c r="H258" s="10"/>
      <c r="I258" s="10"/>
      <c r="J258" s="14"/>
      <c r="K258" s="14"/>
      <c r="L258" s="22"/>
      <c r="M258" s="47"/>
      <c r="N258" s="41"/>
      <c r="O258" s="22"/>
      <c r="P258" s="22"/>
      <c r="Q258" s="45"/>
      <c r="S258" s="50"/>
      <c r="T258" s="50"/>
      <c r="U258" s="50"/>
      <c r="V258" s="50"/>
    </row>
    <row r="259" spans="1:22" s="2" customFormat="1" hidden="1" outlineLevel="1" x14ac:dyDescent="0.35">
      <c r="A259" s="8"/>
      <c r="B259" s="9"/>
      <c r="C259" s="9"/>
      <c r="D259" s="9"/>
      <c r="E259" s="9"/>
      <c r="F259" s="10">
        <f>SUM(F255:F258)</f>
        <v>60</v>
      </c>
      <c r="G259" s="10"/>
      <c r="H259" s="10"/>
      <c r="I259" s="10"/>
      <c r="J259" s="14"/>
      <c r="K259" s="14"/>
      <c r="L259" s="22"/>
      <c r="M259" s="47"/>
      <c r="N259" s="41"/>
      <c r="O259" s="22"/>
      <c r="P259" s="22"/>
      <c r="Q259" s="45"/>
      <c r="S259" s="50"/>
      <c r="T259" s="50"/>
      <c r="U259" s="50"/>
      <c r="V259" s="50"/>
    </row>
    <row r="260" spans="1:22" collapsed="1" x14ac:dyDescent="0.35">
      <c r="A260" s="6"/>
      <c r="B260" s="56"/>
      <c r="C260" s="56"/>
      <c r="D260" s="56"/>
      <c r="E260" s="56"/>
      <c r="F260" s="6"/>
      <c r="G260" s="6"/>
      <c r="H260" s="6"/>
      <c r="I260" s="6"/>
      <c r="J260" s="14"/>
      <c r="K260" s="14"/>
      <c r="L260" s="21"/>
      <c r="M260" s="46"/>
      <c r="N260" s="40"/>
      <c r="O260" s="21"/>
      <c r="P260" s="21"/>
      <c r="Q260" s="45"/>
      <c r="S260" s="3"/>
      <c r="T260" s="3"/>
      <c r="U260" s="3"/>
      <c r="V260" s="3"/>
    </row>
    <row r="261" spans="1:22" x14ac:dyDescent="0.35">
      <c r="A261" s="6">
        <f>+A254+1</f>
        <v>22</v>
      </c>
      <c r="B261" s="57" t="s">
        <v>111</v>
      </c>
      <c r="C261" s="57"/>
      <c r="D261" s="57"/>
      <c r="E261" s="57"/>
      <c r="F261" s="58">
        <f>+ROUNDUP(F266,0)</f>
        <v>15</v>
      </c>
      <c r="G261" s="6" t="s">
        <v>10</v>
      </c>
      <c r="H261" s="6"/>
      <c r="I261" s="6" t="str">
        <f>+$Q$2</f>
        <v>??</v>
      </c>
      <c r="J261" s="14" t="e">
        <f>+F261*H261*I261</f>
        <v>#VALUE!</v>
      </c>
      <c r="K261" s="14"/>
      <c r="L261" s="21"/>
      <c r="M261" s="46">
        <v>0.1</v>
      </c>
      <c r="N261" s="40">
        <f>+L261*M261</f>
        <v>0</v>
      </c>
      <c r="O261" s="21"/>
      <c r="P261" s="21"/>
      <c r="Q261" s="45">
        <f>+(F261*L261)+(F261*N261)+O261+P261</f>
        <v>0</v>
      </c>
      <c r="S261" s="53" t="e">
        <f>+T261/F261</f>
        <v>#VALUE!</v>
      </c>
      <c r="T261" s="49" t="e">
        <f>+J261+K261+Q261</f>
        <v>#VALUE!</v>
      </c>
      <c r="U261" s="49"/>
      <c r="V261" s="53">
        <f>+F261*H261</f>
        <v>0</v>
      </c>
    </row>
    <row r="262" spans="1:22" s="2" customFormat="1" hidden="1" outlineLevel="1" x14ac:dyDescent="0.35">
      <c r="A262" s="8"/>
      <c r="B262" s="67" t="s">
        <v>91</v>
      </c>
      <c r="C262" s="9">
        <v>14.6</v>
      </c>
      <c r="D262" s="9">
        <v>1</v>
      </c>
      <c r="E262" s="9">
        <v>1</v>
      </c>
      <c r="F262" s="10">
        <f>+C262*D262*E262</f>
        <v>14.6</v>
      </c>
      <c r="G262" s="10"/>
      <c r="H262" s="10"/>
      <c r="I262" s="10"/>
      <c r="J262" s="14"/>
      <c r="K262" s="14"/>
      <c r="L262" s="22"/>
      <c r="M262" s="47"/>
      <c r="N262" s="41"/>
      <c r="O262" s="22"/>
      <c r="P262" s="22"/>
      <c r="Q262" s="45"/>
      <c r="S262" s="50"/>
      <c r="T262" s="50"/>
      <c r="U262" s="50"/>
      <c r="V262" s="50"/>
    </row>
    <row r="263" spans="1:22" s="2" customFormat="1" hidden="1" outlineLevel="1" x14ac:dyDescent="0.35">
      <c r="A263" s="8"/>
      <c r="B263" s="9"/>
      <c r="C263" s="9"/>
      <c r="D263" s="9">
        <v>0.5</v>
      </c>
      <c r="E263" s="9">
        <v>4</v>
      </c>
      <c r="F263" s="10">
        <f>+C263*D263*E263</f>
        <v>0</v>
      </c>
      <c r="G263" s="10"/>
      <c r="H263" s="10"/>
      <c r="I263" s="10"/>
      <c r="J263" s="14"/>
      <c r="K263" s="14"/>
      <c r="L263" s="22"/>
      <c r="M263" s="47"/>
      <c r="N263" s="41"/>
      <c r="O263" s="22"/>
      <c r="P263" s="22"/>
      <c r="Q263" s="45"/>
      <c r="S263" s="50"/>
      <c r="T263" s="50"/>
      <c r="U263" s="50"/>
      <c r="V263" s="50"/>
    </row>
    <row r="264" spans="1:22" s="2" customFormat="1" hidden="1" outlineLevel="1" x14ac:dyDescent="0.35">
      <c r="A264" s="8"/>
      <c r="B264" s="9"/>
      <c r="C264" s="9"/>
      <c r="D264" s="9"/>
      <c r="E264" s="9"/>
      <c r="F264" s="10"/>
      <c r="G264" s="10"/>
      <c r="H264" s="10"/>
      <c r="I264" s="10"/>
      <c r="J264" s="14"/>
      <c r="K264" s="14"/>
      <c r="L264" s="22"/>
      <c r="M264" s="47"/>
      <c r="N264" s="41"/>
      <c r="O264" s="22"/>
      <c r="P264" s="22"/>
      <c r="Q264" s="45"/>
      <c r="S264" s="50"/>
      <c r="T264" s="50"/>
      <c r="U264" s="50"/>
      <c r="V264" s="50"/>
    </row>
    <row r="265" spans="1:22" s="2" customFormat="1" hidden="1" outlineLevel="1" x14ac:dyDescent="0.35">
      <c r="A265" s="8"/>
      <c r="B265" s="9"/>
      <c r="C265" s="9"/>
      <c r="D265" s="9"/>
      <c r="E265" s="9"/>
      <c r="F265" s="10"/>
      <c r="G265" s="10"/>
      <c r="H265" s="10"/>
      <c r="I265" s="10"/>
      <c r="J265" s="14"/>
      <c r="K265" s="14"/>
      <c r="L265" s="22"/>
      <c r="M265" s="47"/>
      <c r="N265" s="41"/>
      <c r="O265" s="22"/>
      <c r="P265" s="22"/>
      <c r="Q265" s="45"/>
      <c r="S265" s="50"/>
      <c r="T265" s="50"/>
      <c r="U265" s="50"/>
      <c r="V265" s="50"/>
    </row>
    <row r="266" spans="1:22" s="2" customFormat="1" hidden="1" outlineLevel="1" x14ac:dyDescent="0.35">
      <c r="A266" s="8"/>
      <c r="B266" s="9"/>
      <c r="C266" s="9"/>
      <c r="D266" s="9"/>
      <c r="E266" s="9"/>
      <c r="F266" s="10">
        <f>SUM(F262:F265)</f>
        <v>14.6</v>
      </c>
      <c r="G266" s="10"/>
      <c r="H266" s="10"/>
      <c r="I266" s="10"/>
      <c r="J266" s="14"/>
      <c r="K266" s="14"/>
      <c r="L266" s="22"/>
      <c r="M266" s="47"/>
      <c r="N266" s="41"/>
      <c r="O266" s="22"/>
      <c r="P266" s="22"/>
      <c r="Q266" s="45"/>
      <c r="S266" s="50"/>
      <c r="T266" s="50"/>
      <c r="U266" s="50"/>
      <c r="V266" s="50"/>
    </row>
    <row r="267" spans="1:22" collapsed="1" x14ac:dyDescent="0.35">
      <c r="A267" s="6"/>
      <c r="B267" s="56"/>
      <c r="C267" s="56"/>
      <c r="D267" s="56"/>
      <c r="E267" s="56"/>
      <c r="F267" s="6"/>
      <c r="G267" s="6"/>
      <c r="H267" s="6"/>
      <c r="I267" s="6"/>
      <c r="J267" s="14"/>
      <c r="K267" s="14"/>
      <c r="L267" s="21"/>
      <c r="M267" s="46"/>
      <c r="N267" s="40"/>
      <c r="O267" s="21"/>
      <c r="P267" s="21"/>
      <c r="Q267" s="45"/>
      <c r="S267" s="3"/>
      <c r="T267" s="3"/>
      <c r="U267" s="3"/>
      <c r="V267" s="3"/>
    </row>
    <row r="268" spans="1:22" x14ac:dyDescent="0.35">
      <c r="A268" s="6"/>
      <c r="B268" s="56"/>
      <c r="C268" s="56"/>
      <c r="D268" s="56"/>
      <c r="E268" s="56"/>
      <c r="F268" s="6"/>
      <c r="G268" s="6"/>
      <c r="H268" s="6"/>
      <c r="I268" s="6"/>
      <c r="J268" s="14"/>
      <c r="K268" s="14"/>
      <c r="L268" s="21"/>
      <c r="M268" s="46"/>
      <c r="N268" s="40"/>
      <c r="O268" s="21"/>
      <c r="P268" s="21"/>
      <c r="Q268" s="45"/>
      <c r="S268" s="3"/>
      <c r="T268" s="3"/>
      <c r="U268" s="3"/>
      <c r="V268" s="3"/>
    </row>
    <row r="269" spans="1:22" x14ac:dyDescent="0.35">
      <c r="A269" s="6"/>
      <c r="B269" s="56"/>
      <c r="C269" s="56"/>
      <c r="D269" s="56"/>
      <c r="E269" s="56"/>
      <c r="F269" s="6"/>
      <c r="G269" s="6"/>
      <c r="H269" s="6"/>
      <c r="I269" s="6"/>
      <c r="J269" s="14"/>
      <c r="K269" s="14"/>
      <c r="L269" s="21"/>
      <c r="M269" s="46"/>
      <c r="N269" s="40"/>
      <c r="O269" s="21"/>
      <c r="P269" s="21"/>
      <c r="Q269" s="45"/>
      <c r="S269" s="3"/>
      <c r="T269" s="3"/>
      <c r="U269" s="3"/>
      <c r="V269" s="3"/>
    </row>
    <row r="270" spans="1:22" x14ac:dyDescent="0.35">
      <c r="A270" s="6"/>
      <c r="B270" s="56"/>
      <c r="C270" s="56"/>
      <c r="D270" s="56"/>
      <c r="E270" s="56"/>
      <c r="F270" s="6"/>
      <c r="G270" s="6"/>
      <c r="H270" s="6"/>
      <c r="I270" s="6"/>
      <c r="J270" s="14"/>
      <c r="K270" s="14"/>
      <c r="L270" s="21"/>
      <c r="M270" s="46"/>
      <c r="N270" s="40"/>
      <c r="O270" s="21"/>
      <c r="P270" s="21"/>
      <c r="Q270" s="45"/>
      <c r="S270" s="3"/>
      <c r="T270" s="3"/>
      <c r="U270" s="3"/>
      <c r="V270" s="3"/>
    </row>
    <row r="271" spans="1:22" x14ac:dyDescent="0.35">
      <c r="A271" s="6"/>
      <c r="B271" s="56"/>
      <c r="C271" s="56"/>
      <c r="D271" s="56"/>
      <c r="E271" s="56"/>
      <c r="F271" s="6"/>
      <c r="G271" s="6"/>
      <c r="H271" s="6"/>
      <c r="I271" s="6"/>
      <c r="J271" s="14"/>
      <c r="K271" s="14"/>
      <c r="L271" s="21"/>
      <c r="M271" s="46"/>
      <c r="N271" s="40"/>
      <c r="O271" s="21"/>
      <c r="P271" s="21"/>
      <c r="Q271" s="45"/>
      <c r="S271" s="3"/>
      <c r="T271" s="3"/>
      <c r="U271" s="3"/>
      <c r="V271" s="3"/>
    </row>
    <row r="272" spans="1:22" x14ac:dyDescent="0.35">
      <c r="A272" s="29"/>
      <c r="B272" s="68" t="s">
        <v>89</v>
      </c>
      <c r="C272" s="55"/>
      <c r="D272" s="55"/>
      <c r="E272" s="55"/>
      <c r="F272" s="29"/>
      <c r="G272" s="29"/>
      <c r="H272" s="29"/>
      <c r="I272" s="29"/>
      <c r="J272" s="42"/>
      <c r="K272" s="42"/>
      <c r="L272" s="30"/>
      <c r="M272" s="38"/>
      <c r="N272" s="39"/>
      <c r="O272" s="30"/>
      <c r="P272" s="30"/>
      <c r="Q272" s="44"/>
      <c r="S272" s="3"/>
      <c r="T272" s="3"/>
      <c r="U272" s="3"/>
      <c r="V272" s="3"/>
    </row>
    <row r="273" spans="1:22" x14ac:dyDescent="0.35">
      <c r="A273" s="6">
        <v>1</v>
      </c>
      <c r="B273" s="57" t="s">
        <v>90</v>
      </c>
      <c r="C273" s="57"/>
      <c r="D273" s="57"/>
      <c r="E273" s="57"/>
      <c r="F273" s="58">
        <v>444</v>
      </c>
      <c r="G273" s="6" t="s">
        <v>38</v>
      </c>
      <c r="H273" s="6"/>
      <c r="I273" s="6" t="str">
        <f>+$Q$2</f>
        <v>??</v>
      </c>
      <c r="J273" s="14" t="e">
        <f>+F273*H273*I273</f>
        <v>#VALUE!</v>
      </c>
      <c r="K273" s="14"/>
      <c r="L273" s="21"/>
      <c r="M273" s="46">
        <v>0.1</v>
      </c>
      <c r="N273" s="40">
        <f>+L273*M273</f>
        <v>0</v>
      </c>
      <c r="O273" s="21"/>
      <c r="P273" s="21"/>
      <c r="Q273" s="45">
        <f>+(F273*L273)+(F273*N273)+O273+P273</f>
        <v>0</v>
      </c>
      <c r="S273" s="53" t="e">
        <f>+T273/F273</f>
        <v>#VALUE!</v>
      </c>
      <c r="T273" s="49" t="e">
        <f>+J273+K273+Q273</f>
        <v>#VALUE!</v>
      </c>
      <c r="U273" s="49"/>
      <c r="V273" s="53">
        <f>+F273*H273</f>
        <v>0</v>
      </c>
    </row>
    <row r="274" spans="1:22" s="2" customFormat="1" hidden="1" outlineLevel="1" x14ac:dyDescent="0.35">
      <c r="A274" s="8"/>
      <c r="B274" s="67" t="s">
        <v>92</v>
      </c>
      <c r="C274" s="9">
        <v>14</v>
      </c>
      <c r="D274" s="9">
        <v>1</v>
      </c>
      <c r="E274" s="9">
        <v>2</v>
      </c>
      <c r="F274" s="10">
        <f>+C274*D274*E274</f>
        <v>28</v>
      </c>
      <c r="G274" s="10"/>
      <c r="H274" s="10"/>
      <c r="I274" s="10"/>
      <c r="J274" s="14"/>
      <c r="K274" s="14"/>
      <c r="L274" s="22"/>
      <c r="M274" s="47"/>
      <c r="N274" s="41"/>
      <c r="O274" s="22"/>
      <c r="P274" s="22"/>
      <c r="Q274" s="45"/>
      <c r="S274" s="50"/>
      <c r="T274" s="50"/>
      <c r="U274" s="50"/>
      <c r="V274" s="50"/>
    </row>
    <row r="275" spans="1:22" s="2" customFormat="1" hidden="1" outlineLevel="1" x14ac:dyDescent="0.35">
      <c r="A275" s="8"/>
      <c r="B275" s="9" t="s">
        <v>93</v>
      </c>
      <c r="C275" s="9">
        <v>14</v>
      </c>
      <c r="D275" s="9">
        <v>1</v>
      </c>
      <c r="E275" s="9">
        <v>1</v>
      </c>
      <c r="F275" s="10">
        <f>+C275*D275*E275</f>
        <v>14</v>
      </c>
      <c r="G275" s="10"/>
      <c r="H275" s="10"/>
      <c r="I275" s="10"/>
      <c r="J275" s="14"/>
      <c r="K275" s="14"/>
      <c r="L275" s="22"/>
      <c r="M275" s="47"/>
      <c r="N275" s="41"/>
      <c r="O275" s="22"/>
      <c r="P275" s="22"/>
      <c r="Q275" s="45"/>
      <c r="S275" s="50"/>
      <c r="T275" s="50"/>
      <c r="U275" s="50"/>
      <c r="V275" s="50"/>
    </row>
    <row r="276" spans="1:22" s="2" customFormat="1" hidden="1" outlineLevel="1" x14ac:dyDescent="0.35">
      <c r="A276" s="8"/>
      <c r="B276" s="9" t="s">
        <v>94</v>
      </c>
      <c r="C276" s="9">
        <f>14/0.4+2</f>
        <v>37</v>
      </c>
      <c r="D276" s="9">
        <v>1</v>
      </c>
      <c r="E276" s="9">
        <v>1</v>
      </c>
      <c r="F276" s="10">
        <f>+C276*D276*E276</f>
        <v>37</v>
      </c>
      <c r="G276" s="10"/>
      <c r="H276" s="10"/>
      <c r="I276" s="10"/>
      <c r="J276" s="14"/>
      <c r="K276" s="14"/>
      <c r="L276" s="22"/>
      <c r="M276" s="47"/>
      <c r="N276" s="41"/>
      <c r="O276" s="22"/>
      <c r="P276" s="22"/>
      <c r="Q276" s="45"/>
      <c r="S276" s="50"/>
      <c r="T276" s="50"/>
      <c r="U276" s="50"/>
      <c r="V276" s="50"/>
    </row>
    <row r="277" spans="1:22" s="2" customFormat="1" hidden="1" outlineLevel="1" x14ac:dyDescent="0.35">
      <c r="A277" s="8"/>
      <c r="B277" s="9"/>
      <c r="C277" s="9"/>
      <c r="D277" s="9"/>
      <c r="E277" s="9"/>
      <c r="F277" s="10"/>
      <c r="G277" s="10"/>
      <c r="H277" s="10"/>
      <c r="I277" s="10"/>
      <c r="J277" s="14"/>
      <c r="K277" s="14"/>
      <c r="L277" s="22"/>
      <c r="M277" s="47"/>
      <c r="N277" s="41"/>
      <c r="O277" s="22"/>
      <c r="P277" s="22"/>
      <c r="Q277" s="45"/>
      <c r="S277" s="50"/>
      <c r="T277" s="50"/>
      <c r="U277" s="50"/>
      <c r="V277" s="50"/>
    </row>
    <row r="278" spans="1:22" s="2" customFormat="1" hidden="1" outlineLevel="1" x14ac:dyDescent="0.35">
      <c r="A278" s="8"/>
      <c r="B278" s="67" t="s">
        <v>95</v>
      </c>
      <c r="C278" s="9">
        <v>23</v>
      </c>
      <c r="D278" s="9">
        <v>1</v>
      </c>
      <c r="E278" s="9">
        <v>2</v>
      </c>
      <c r="F278" s="10">
        <f>+C278*D278*E278</f>
        <v>46</v>
      </c>
      <c r="G278" s="10"/>
      <c r="H278" s="10"/>
      <c r="I278" s="10"/>
      <c r="J278" s="14"/>
      <c r="K278" s="14"/>
      <c r="L278" s="22"/>
      <c r="M278" s="47"/>
      <c r="N278" s="41"/>
      <c r="O278" s="22"/>
      <c r="P278" s="22"/>
      <c r="Q278" s="45"/>
      <c r="S278" s="50"/>
      <c r="T278" s="50"/>
      <c r="U278" s="50"/>
      <c r="V278" s="50"/>
    </row>
    <row r="279" spans="1:22" s="2" customFormat="1" hidden="1" outlineLevel="1" x14ac:dyDescent="0.35">
      <c r="A279" s="8"/>
      <c r="B279" s="9" t="s">
        <v>93</v>
      </c>
      <c r="C279" s="9">
        <v>23</v>
      </c>
      <c r="D279" s="9">
        <v>1</v>
      </c>
      <c r="E279" s="9">
        <v>1</v>
      </c>
      <c r="F279" s="10">
        <f>+C279*D279*E279</f>
        <v>23</v>
      </c>
      <c r="G279" s="10"/>
      <c r="H279" s="10"/>
      <c r="I279" s="10"/>
      <c r="J279" s="14"/>
      <c r="K279" s="14"/>
      <c r="L279" s="22"/>
      <c r="M279" s="47"/>
      <c r="N279" s="41"/>
      <c r="O279" s="22"/>
      <c r="P279" s="22"/>
      <c r="Q279" s="45"/>
      <c r="S279" s="50"/>
      <c r="T279" s="50"/>
      <c r="U279" s="50"/>
      <c r="V279" s="50"/>
    </row>
    <row r="280" spans="1:22" s="2" customFormat="1" hidden="1" outlineLevel="1" x14ac:dyDescent="0.35">
      <c r="A280" s="8"/>
      <c r="B280" s="9" t="s">
        <v>94</v>
      </c>
      <c r="C280" s="9">
        <f>23/0.4+2</f>
        <v>59.5</v>
      </c>
      <c r="D280" s="9">
        <v>1.2</v>
      </c>
      <c r="E280" s="9">
        <v>1</v>
      </c>
      <c r="F280" s="10">
        <f>+C280*D280*E280</f>
        <v>71.399999999999991</v>
      </c>
      <c r="G280" s="10"/>
      <c r="H280" s="10"/>
      <c r="I280" s="10"/>
      <c r="J280" s="14"/>
      <c r="K280" s="14"/>
      <c r="L280" s="22"/>
      <c r="M280" s="47"/>
      <c r="N280" s="41"/>
      <c r="O280" s="22"/>
      <c r="P280" s="22"/>
      <c r="Q280" s="45"/>
      <c r="S280" s="50"/>
      <c r="T280" s="50"/>
      <c r="U280" s="50"/>
      <c r="V280" s="50"/>
    </row>
    <row r="281" spans="1:22" s="2" customFormat="1" hidden="1" outlineLevel="1" x14ac:dyDescent="0.35">
      <c r="A281" s="8"/>
      <c r="B281" s="9"/>
      <c r="C281" s="9"/>
      <c r="D281" s="9"/>
      <c r="E281" s="9"/>
      <c r="F281" s="10"/>
      <c r="G281" s="10"/>
      <c r="H281" s="10"/>
      <c r="I281" s="10"/>
      <c r="J281" s="14"/>
      <c r="K281" s="14"/>
      <c r="L281" s="22"/>
      <c r="M281" s="47"/>
      <c r="N281" s="41"/>
      <c r="O281" s="22"/>
      <c r="P281" s="22"/>
      <c r="Q281" s="45"/>
      <c r="S281" s="50"/>
      <c r="T281" s="50"/>
      <c r="U281" s="50"/>
      <c r="V281" s="50"/>
    </row>
    <row r="282" spans="1:22" s="2" customFormat="1" hidden="1" outlineLevel="1" x14ac:dyDescent="0.35">
      <c r="A282" s="8"/>
      <c r="B282" s="67" t="s">
        <v>96</v>
      </c>
      <c r="C282" s="9">
        <v>23</v>
      </c>
      <c r="D282" s="9">
        <v>1</v>
      </c>
      <c r="E282" s="9">
        <v>2</v>
      </c>
      <c r="F282" s="10">
        <f>+C282*D282*E282</f>
        <v>46</v>
      </c>
      <c r="G282" s="10"/>
      <c r="H282" s="10"/>
      <c r="I282" s="10"/>
      <c r="J282" s="14"/>
      <c r="K282" s="14"/>
      <c r="L282" s="22"/>
      <c r="M282" s="47"/>
      <c r="N282" s="41"/>
      <c r="O282" s="22"/>
      <c r="P282" s="22"/>
      <c r="Q282" s="45"/>
      <c r="S282" s="50"/>
      <c r="T282" s="50"/>
      <c r="U282" s="50"/>
      <c r="V282" s="50"/>
    </row>
    <row r="283" spans="1:22" s="2" customFormat="1" hidden="1" outlineLevel="1" x14ac:dyDescent="0.35">
      <c r="A283" s="8"/>
      <c r="B283" s="9" t="s">
        <v>93</v>
      </c>
      <c r="C283" s="9"/>
      <c r="D283" s="9"/>
      <c r="E283" s="9"/>
      <c r="F283" s="10">
        <f>+C283*D283*E283</f>
        <v>0</v>
      </c>
      <c r="G283" s="10"/>
      <c r="H283" s="10"/>
      <c r="I283" s="10"/>
      <c r="J283" s="14"/>
      <c r="K283" s="14"/>
      <c r="L283" s="22"/>
      <c r="M283" s="47"/>
      <c r="N283" s="41"/>
      <c r="O283" s="22"/>
      <c r="P283" s="22"/>
      <c r="Q283" s="45"/>
      <c r="S283" s="50"/>
      <c r="T283" s="50"/>
      <c r="U283" s="50"/>
      <c r="V283" s="50"/>
    </row>
    <row r="284" spans="1:22" s="2" customFormat="1" hidden="1" outlineLevel="1" x14ac:dyDescent="0.35">
      <c r="A284" s="8"/>
      <c r="B284" s="9" t="s">
        <v>94</v>
      </c>
      <c r="C284" s="9">
        <f>23/0.4+2</f>
        <v>59.5</v>
      </c>
      <c r="D284" s="9">
        <v>0.65</v>
      </c>
      <c r="E284" s="9">
        <v>1</v>
      </c>
      <c r="F284" s="10">
        <f>+C284*D284*E284</f>
        <v>38.675000000000004</v>
      </c>
      <c r="G284" s="10"/>
      <c r="H284" s="10"/>
      <c r="I284" s="10"/>
      <c r="J284" s="14"/>
      <c r="K284" s="14"/>
      <c r="L284" s="22"/>
      <c r="M284" s="47"/>
      <c r="N284" s="41"/>
      <c r="O284" s="22"/>
      <c r="P284" s="22"/>
      <c r="Q284" s="45"/>
      <c r="S284" s="50"/>
      <c r="T284" s="50"/>
      <c r="U284" s="50"/>
      <c r="V284" s="50"/>
    </row>
    <row r="285" spans="1:22" s="2" customFormat="1" hidden="1" outlineLevel="1" x14ac:dyDescent="0.35">
      <c r="A285" s="8"/>
      <c r="B285" s="9"/>
      <c r="C285" s="9"/>
      <c r="D285" s="9"/>
      <c r="E285" s="9"/>
      <c r="F285" s="10"/>
      <c r="G285" s="10"/>
      <c r="H285" s="10"/>
      <c r="I285" s="10"/>
      <c r="J285" s="14"/>
      <c r="K285" s="14"/>
      <c r="L285" s="22"/>
      <c r="M285" s="47"/>
      <c r="N285" s="41"/>
      <c r="O285" s="22"/>
      <c r="P285" s="22"/>
      <c r="Q285" s="45"/>
      <c r="S285" s="50"/>
      <c r="T285" s="50"/>
      <c r="U285" s="50"/>
      <c r="V285" s="50"/>
    </row>
    <row r="286" spans="1:22" s="2" customFormat="1" hidden="1" outlineLevel="1" x14ac:dyDescent="0.35">
      <c r="A286" s="8"/>
      <c r="B286" s="9"/>
      <c r="C286" s="9"/>
      <c r="D286" s="9">
        <v>1</v>
      </c>
      <c r="E286" s="9">
        <v>1</v>
      </c>
      <c r="F286" s="10">
        <f>+C286*D286*E286</f>
        <v>0</v>
      </c>
      <c r="G286" s="10"/>
      <c r="H286" s="10"/>
      <c r="I286" s="10"/>
      <c r="J286" s="14"/>
      <c r="K286" s="14"/>
      <c r="L286" s="22"/>
      <c r="M286" s="47"/>
      <c r="N286" s="41"/>
      <c r="O286" s="22"/>
      <c r="P286" s="22"/>
      <c r="Q286" s="45"/>
      <c r="S286" s="50"/>
      <c r="T286" s="50"/>
      <c r="U286" s="50"/>
      <c r="V286" s="50"/>
    </row>
    <row r="287" spans="1:22" s="2" customFormat="1" hidden="1" outlineLevel="1" x14ac:dyDescent="0.35">
      <c r="A287" s="8"/>
      <c r="B287" s="9"/>
      <c r="C287" s="9"/>
      <c r="D287" s="9"/>
      <c r="E287" s="9"/>
      <c r="F287" s="10"/>
      <c r="G287" s="10"/>
      <c r="H287" s="10"/>
      <c r="I287" s="10"/>
      <c r="J287" s="14"/>
      <c r="K287" s="14"/>
      <c r="L287" s="22"/>
      <c r="M287" s="47"/>
      <c r="N287" s="41"/>
      <c r="O287" s="22"/>
      <c r="P287" s="22"/>
      <c r="Q287" s="45"/>
      <c r="S287" s="50"/>
      <c r="T287" s="50"/>
      <c r="U287" s="50"/>
      <c r="V287" s="50"/>
    </row>
    <row r="288" spans="1:22" s="2" customFormat="1" hidden="1" outlineLevel="1" x14ac:dyDescent="0.35">
      <c r="A288" s="8"/>
      <c r="B288" s="9"/>
      <c r="C288" s="9"/>
      <c r="D288" s="9"/>
      <c r="E288" s="9"/>
      <c r="F288" s="10">
        <f>SUM(F274:F287)</f>
        <v>304.07499999999999</v>
      </c>
      <c r="G288" s="10"/>
      <c r="H288" s="10"/>
      <c r="I288" s="10"/>
      <c r="J288" s="14"/>
      <c r="K288" s="14"/>
      <c r="L288" s="22"/>
      <c r="M288" s="47"/>
      <c r="N288" s="41"/>
      <c r="O288" s="22"/>
      <c r="P288" s="22"/>
      <c r="Q288" s="45"/>
      <c r="S288" s="50"/>
      <c r="T288" s="50"/>
      <c r="U288" s="50"/>
      <c r="V288" s="50"/>
    </row>
    <row r="289" spans="1:22" collapsed="1" x14ac:dyDescent="0.35">
      <c r="A289" s="6"/>
      <c r="B289" s="56"/>
      <c r="C289" s="56"/>
      <c r="D289" s="56"/>
      <c r="E289" s="56"/>
      <c r="F289" s="6"/>
      <c r="G289" s="6"/>
      <c r="H289" s="6"/>
      <c r="I289" s="6"/>
      <c r="J289" s="14"/>
      <c r="K289" s="14"/>
      <c r="L289" s="21"/>
      <c r="M289" s="46"/>
      <c r="N289" s="40"/>
      <c r="O289" s="21"/>
      <c r="P289" s="21"/>
      <c r="Q289" s="45"/>
      <c r="S289" s="3"/>
      <c r="T289" s="3"/>
      <c r="U289" s="3"/>
      <c r="V289" s="3"/>
    </row>
    <row r="290" spans="1:22" x14ac:dyDescent="0.35">
      <c r="A290" s="6">
        <f>+A273+1</f>
        <v>2</v>
      </c>
      <c r="B290" s="57" t="s">
        <v>97</v>
      </c>
      <c r="C290" s="57"/>
      <c r="D290" s="57"/>
      <c r="E290" s="57"/>
      <c r="F290" s="58">
        <v>236</v>
      </c>
      <c r="G290" s="6" t="s">
        <v>38</v>
      </c>
      <c r="H290" s="6"/>
      <c r="I290" s="6" t="str">
        <f>+$Q$2</f>
        <v>??</v>
      </c>
      <c r="J290" s="14" t="e">
        <f>+F290*H290*I290</f>
        <v>#VALUE!</v>
      </c>
      <c r="K290" s="14"/>
      <c r="L290" s="21"/>
      <c r="M290" s="46">
        <v>0.1</v>
      </c>
      <c r="N290" s="40">
        <f>+L290*M290</f>
        <v>0</v>
      </c>
      <c r="O290" s="21"/>
      <c r="P290" s="21"/>
      <c r="Q290" s="45">
        <f>+(F290*L290)+(F290*N290)+O290+P290</f>
        <v>0</v>
      </c>
      <c r="S290" s="53" t="e">
        <f>+T290/F290</f>
        <v>#VALUE!</v>
      </c>
      <c r="T290" s="49" t="e">
        <f>+J290+K290+Q290</f>
        <v>#VALUE!</v>
      </c>
      <c r="U290" s="49"/>
      <c r="V290" s="53">
        <f>+F290*H290</f>
        <v>0</v>
      </c>
    </row>
    <row r="291" spans="1:22" s="2" customFormat="1" hidden="1" outlineLevel="1" x14ac:dyDescent="0.35">
      <c r="A291" s="8"/>
      <c r="B291" s="67" t="s">
        <v>95</v>
      </c>
      <c r="C291" s="9">
        <v>23</v>
      </c>
      <c r="D291" s="9">
        <v>1</v>
      </c>
      <c r="E291" s="9">
        <v>2</v>
      </c>
      <c r="F291" s="10">
        <f>+C291*D291*E291</f>
        <v>46</v>
      </c>
      <c r="G291" s="10"/>
      <c r="H291" s="10"/>
      <c r="I291" s="10"/>
      <c r="J291" s="14"/>
      <c r="K291" s="14"/>
      <c r="L291" s="22"/>
      <c r="M291" s="47"/>
      <c r="N291" s="41"/>
      <c r="O291" s="22"/>
      <c r="P291" s="22"/>
      <c r="Q291" s="45"/>
      <c r="S291" s="50"/>
      <c r="T291" s="50"/>
      <c r="U291" s="50"/>
      <c r="V291" s="50"/>
    </row>
    <row r="292" spans="1:22" s="2" customFormat="1" hidden="1" outlineLevel="1" x14ac:dyDescent="0.35">
      <c r="A292" s="8"/>
      <c r="B292" s="9" t="s">
        <v>93</v>
      </c>
      <c r="C292" s="9"/>
      <c r="D292" s="9"/>
      <c r="E292" s="9">
        <v>1</v>
      </c>
      <c r="F292" s="10">
        <f>+C292*D292*E292</f>
        <v>0</v>
      </c>
      <c r="G292" s="10"/>
      <c r="H292" s="10"/>
      <c r="I292" s="10"/>
      <c r="J292" s="14"/>
      <c r="K292" s="14"/>
      <c r="L292" s="22"/>
      <c r="M292" s="47"/>
      <c r="N292" s="41"/>
      <c r="O292" s="22"/>
      <c r="P292" s="22"/>
      <c r="Q292" s="45"/>
      <c r="S292" s="50"/>
      <c r="T292" s="50"/>
      <c r="U292" s="50"/>
      <c r="V292" s="50"/>
    </row>
    <row r="293" spans="1:22" s="2" customFormat="1" hidden="1" outlineLevel="1" x14ac:dyDescent="0.35">
      <c r="A293" s="8"/>
      <c r="B293" s="9" t="s">
        <v>94</v>
      </c>
      <c r="C293" s="9">
        <f>23/0.4+2</f>
        <v>59.5</v>
      </c>
      <c r="D293" s="9">
        <v>0.5</v>
      </c>
      <c r="E293" s="9">
        <v>1</v>
      </c>
      <c r="F293" s="10">
        <f>+C293*D293*E293</f>
        <v>29.75</v>
      </c>
      <c r="G293" s="10"/>
      <c r="H293" s="10"/>
      <c r="I293" s="10"/>
      <c r="J293" s="14"/>
      <c r="K293" s="14"/>
      <c r="L293" s="22"/>
      <c r="M293" s="47"/>
      <c r="N293" s="41"/>
      <c r="O293" s="22"/>
      <c r="P293" s="22"/>
      <c r="Q293" s="45"/>
      <c r="S293" s="50"/>
      <c r="T293" s="50"/>
      <c r="U293" s="50"/>
      <c r="V293" s="50"/>
    </row>
    <row r="294" spans="1:22" s="2" customFormat="1" hidden="1" outlineLevel="1" x14ac:dyDescent="0.35">
      <c r="A294" s="8"/>
      <c r="B294" s="9"/>
      <c r="C294" s="9"/>
      <c r="D294" s="9"/>
      <c r="E294" s="9"/>
      <c r="F294" s="10"/>
      <c r="G294" s="10"/>
      <c r="H294" s="10"/>
      <c r="I294" s="10"/>
      <c r="J294" s="14"/>
      <c r="K294" s="14"/>
      <c r="L294" s="22"/>
      <c r="M294" s="47"/>
      <c r="N294" s="41"/>
      <c r="O294" s="22"/>
      <c r="P294" s="22"/>
      <c r="Q294" s="45"/>
      <c r="S294" s="50"/>
      <c r="T294" s="50"/>
      <c r="U294" s="50"/>
      <c r="V294" s="50"/>
    </row>
    <row r="295" spans="1:22" s="2" customFormat="1" hidden="1" outlineLevel="1" x14ac:dyDescent="0.35">
      <c r="A295" s="8"/>
      <c r="B295" s="67" t="s">
        <v>96</v>
      </c>
      <c r="C295" s="9">
        <v>23</v>
      </c>
      <c r="D295" s="9">
        <v>1</v>
      </c>
      <c r="E295" s="9">
        <v>2</v>
      </c>
      <c r="F295" s="10">
        <f>+C295*D295*E295</f>
        <v>46</v>
      </c>
      <c r="G295" s="10"/>
      <c r="H295" s="10"/>
      <c r="I295" s="10"/>
      <c r="J295" s="14"/>
      <c r="K295" s="14"/>
      <c r="L295" s="22"/>
      <c r="M295" s="47"/>
      <c r="N295" s="41"/>
      <c r="O295" s="22"/>
      <c r="P295" s="22"/>
      <c r="Q295" s="45"/>
      <c r="S295" s="50"/>
      <c r="T295" s="50"/>
      <c r="U295" s="50"/>
      <c r="V295" s="50"/>
    </row>
    <row r="296" spans="1:22" s="2" customFormat="1" hidden="1" outlineLevel="1" x14ac:dyDescent="0.35">
      <c r="A296" s="8"/>
      <c r="B296" s="9" t="s">
        <v>93</v>
      </c>
      <c r="C296" s="9"/>
      <c r="D296" s="9"/>
      <c r="E296" s="9"/>
      <c r="F296" s="10">
        <f>+C296*D296*E296</f>
        <v>0</v>
      </c>
      <c r="G296" s="10"/>
      <c r="H296" s="10"/>
      <c r="I296" s="10"/>
      <c r="J296" s="14"/>
      <c r="K296" s="14"/>
      <c r="L296" s="22"/>
      <c r="M296" s="47"/>
      <c r="N296" s="41"/>
      <c r="O296" s="22"/>
      <c r="P296" s="22"/>
      <c r="Q296" s="45"/>
      <c r="S296" s="50"/>
      <c r="T296" s="50"/>
      <c r="U296" s="50"/>
      <c r="V296" s="50"/>
    </row>
    <row r="297" spans="1:22" s="2" customFormat="1" hidden="1" outlineLevel="1" x14ac:dyDescent="0.35">
      <c r="A297" s="8"/>
      <c r="B297" s="9" t="s">
        <v>94</v>
      </c>
      <c r="C297" s="9">
        <f>23/0.4+2</f>
        <v>59.5</v>
      </c>
      <c r="D297" s="9">
        <v>0.6</v>
      </c>
      <c r="E297" s="9">
        <v>1</v>
      </c>
      <c r="F297" s="10">
        <f>+C297*D297*E297</f>
        <v>35.699999999999996</v>
      </c>
      <c r="G297" s="10"/>
      <c r="H297" s="10"/>
      <c r="I297" s="10"/>
      <c r="J297" s="14"/>
      <c r="K297" s="14"/>
      <c r="L297" s="22"/>
      <c r="M297" s="47"/>
      <c r="N297" s="41"/>
      <c r="O297" s="22"/>
      <c r="P297" s="22"/>
      <c r="Q297" s="45"/>
      <c r="S297" s="50"/>
      <c r="T297" s="50"/>
      <c r="U297" s="50"/>
      <c r="V297" s="50"/>
    </row>
    <row r="298" spans="1:22" s="2" customFormat="1" hidden="1" outlineLevel="1" x14ac:dyDescent="0.35">
      <c r="A298" s="8"/>
      <c r="B298" s="9"/>
      <c r="C298" s="9"/>
      <c r="D298" s="9"/>
      <c r="E298" s="9"/>
      <c r="F298" s="10"/>
      <c r="G298" s="10"/>
      <c r="H298" s="10"/>
      <c r="I298" s="10"/>
      <c r="J298" s="14"/>
      <c r="K298" s="14"/>
      <c r="L298" s="22"/>
      <c r="M298" s="47"/>
      <c r="N298" s="41"/>
      <c r="O298" s="22"/>
      <c r="P298" s="22"/>
      <c r="Q298" s="45"/>
      <c r="S298" s="50"/>
      <c r="T298" s="50"/>
      <c r="U298" s="50"/>
      <c r="V298" s="50"/>
    </row>
    <row r="299" spans="1:22" s="2" customFormat="1" hidden="1" outlineLevel="1" x14ac:dyDescent="0.35">
      <c r="A299" s="8"/>
      <c r="B299" s="9"/>
      <c r="C299" s="9"/>
      <c r="D299" s="9">
        <v>1</v>
      </c>
      <c r="E299" s="9">
        <v>1</v>
      </c>
      <c r="F299" s="10">
        <f>+C299*D299*E299</f>
        <v>0</v>
      </c>
      <c r="G299" s="10"/>
      <c r="H299" s="10"/>
      <c r="I299" s="10"/>
      <c r="J299" s="14"/>
      <c r="K299" s="14"/>
      <c r="L299" s="22"/>
      <c r="M299" s="47"/>
      <c r="N299" s="41"/>
      <c r="O299" s="22"/>
      <c r="P299" s="22"/>
      <c r="Q299" s="45"/>
      <c r="S299" s="50"/>
      <c r="T299" s="50"/>
      <c r="U299" s="50"/>
      <c r="V299" s="50"/>
    </row>
    <row r="300" spans="1:22" s="2" customFormat="1" hidden="1" outlineLevel="1" x14ac:dyDescent="0.35">
      <c r="A300" s="8"/>
      <c r="B300" s="9"/>
      <c r="C300" s="9"/>
      <c r="D300" s="9"/>
      <c r="E300" s="9"/>
      <c r="F300" s="10"/>
      <c r="G300" s="10"/>
      <c r="H300" s="10"/>
      <c r="I300" s="10"/>
      <c r="J300" s="14"/>
      <c r="K300" s="14"/>
      <c r="L300" s="22"/>
      <c r="M300" s="47"/>
      <c r="N300" s="41"/>
      <c r="O300" s="22"/>
      <c r="P300" s="22"/>
      <c r="Q300" s="45"/>
      <c r="S300" s="50"/>
      <c r="T300" s="50"/>
      <c r="U300" s="50"/>
      <c r="V300" s="50"/>
    </row>
    <row r="301" spans="1:22" s="2" customFormat="1" hidden="1" outlineLevel="1" x14ac:dyDescent="0.35">
      <c r="A301" s="8"/>
      <c r="B301" s="9"/>
      <c r="C301" s="9"/>
      <c r="D301" s="9"/>
      <c r="E301" s="9"/>
      <c r="F301" s="10">
        <f>SUM(F291:F300)</f>
        <v>157.44999999999999</v>
      </c>
      <c r="G301" s="10"/>
      <c r="H301" s="10"/>
      <c r="I301" s="10"/>
      <c r="J301" s="14"/>
      <c r="K301" s="14"/>
      <c r="L301" s="22"/>
      <c r="M301" s="47"/>
      <c r="N301" s="41"/>
      <c r="O301" s="22"/>
      <c r="P301" s="22"/>
      <c r="Q301" s="45"/>
      <c r="S301" s="50"/>
      <c r="T301" s="50"/>
      <c r="U301" s="50"/>
      <c r="V301" s="50"/>
    </row>
    <row r="302" spans="1:22" collapsed="1" x14ac:dyDescent="0.35">
      <c r="A302" s="6"/>
      <c r="B302" s="56"/>
      <c r="C302" s="56"/>
      <c r="D302" s="56"/>
      <c r="E302" s="56"/>
      <c r="F302" s="6"/>
      <c r="G302" s="6"/>
      <c r="H302" s="6"/>
      <c r="I302" s="6"/>
      <c r="J302" s="14"/>
      <c r="K302" s="14"/>
      <c r="L302" s="21"/>
      <c r="M302" s="46"/>
      <c r="N302" s="40"/>
      <c r="O302" s="21"/>
      <c r="P302" s="21"/>
      <c r="Q302" s="45"/>
      <c r="S302" s="3"/>
      <c r="T302" s="3"/>
      <c r="U302" s="3"/>
      <c r="V302" s="3"/>
    </row>
    <row r="303" spans="1:22" x14ac:dyDescent="0.35">
      <c r="A303" s="6">
        <f>+A290+1</f>
        <v>3</v>
      </c>
      <c r="B303" s="57" t="s">
        <v>98</v>
      </c>
      <c r="C303" s="57"/>
      <c r="D303" s="57"/>
      <c r="E303" s="57"/>
      <c r="F303" s="58">
        <v>80</v>
      </c>
      <c r="G303" s="6" t="s">
        <v>38</v>
      </c>
      <c r="H303" s="6"/>
      <c r="I303" s="6" t="str">
        <f>+$Q$2</f>
        <v>??</v>
      </c>
      <c r="J303" s="14" t="e">
        <f>+F303*H303*I303</f>
        <v>#VALUE!</v>
      </c>
      <c r="K303" s="14"/>
      <c r="L303" s="21"/>
      <c r="M303" s="46">
        <v>0.1</v>
      </c>
      <c r="N303" s="40">
        <f>+L303*M303</f>
        <v>0</v>
      </c>
      <c r="O303" s="21"/>
      <c r="P303" s="21"/>
      <c r="Q303" s="45">
        <f>+(F303*L303)+(F303*N303)+O303+P303</f>
        <v>0</v>
      </c>
      <c r="S303" s="53" t="e">
        <f>+T303/F303</f>
        <v>#VALUE!</v>
      </c>
      <c r="T303" s="49" t="e">
        <f>+J303+K303+Q303</f>
        <v>#VALUE!</v>
      </c>
      <c r="U303" s="49"/>
      <c r="V303" s="53">
        <f>+F303*H303</f>
        <v>0</v>
      </c>
    </row>
    <row r="304" spans="1:22" s="2" customFormat="1" hidden="1" outlineLevel="1" x14ac:dyDescent="0.35">
      <c r="A304" s="8"/>
      <c r="B304" s="67" t="s">
        <v>95</v>
      </c>
      <c r="C304" s="9">
        <v>23</v>
      </c>
      <c r="D304" s="9">
        <v>1</v>
      </c>
      <c r="E304" s="9">
        <v>1</v>
      </c>
      <c r="F304" s="10">
        <f>+C304*D304*E304</f>
        <v>23</v>
      </c>
      <c r="G304" s="10"/>
      <c r="H304" s="10"/>
      <c r="I304" s="10"/>
      <c r="J304" s="14"/>
      <c r="K304" s="14"/>
      <c r="L304" s="22"/>
      <c r="M304" s="47"/>
      <c r="N304" s="41"/>
      <c r="O304" s="22"/>
      <c r="P304" s="22"/>
      <c r="Q304" s="45"/>
      <c r="S304" s="50"/>
      <c r="T304" s="50"/>
      <c r="U304" s="50"/>
      <c r="V304" s="50"/>
    </row>
    <row r="305" spans="1:22" s="2" customFormat="1" hidden="1" outlineLevel="1" x14ac:dyDescent="0.35">
      <c r="A305" s="8"/>
      <c r="B305" s="9"/>
      <c r="C305" s="9"/>
      <c r="D305" s="9"/>
      <c r="E305" s="9"/>
      <c r="F305" s="10"/>
      <c r="G305" s="10"/>
      <c r="H305" s="10"/>
      <c r="I305" s="10"/>
      <c r="J305" s="14"/>
      <c r="K305" s="14"/>
      <c r="L305" s="22"/>
      <c r="M305" s="47"/>
      <c r="N305" s="41"/>
      <c r="O305" s="22"/>
      <c r="P305" s="22"/>
      <c r="Q305" s="45"/>
      <c r="S305" s="50"/>
      <c r="T305" s="50"/>
      <c r="U305" s="50"/>
      <c r="V305" s="50"/>
    </row>
    <row r="306" spans="1:22" s="2" customFormat="1" hidden="1" outlineLevel="1" x14ac:dyDescent="0.35">
      <c r="A306" s="8"/>
      <c r="B306" s="67" t="s">
        <v>96</v>
      </c>
      <c r="C306" s="9">
        <v>23</v>
      </c>
      <c r="D306" s="9">
        <v>1</v>
      </c>
      <c r="E306" s="9">
        <v>1</v>
      </c>
      <c r="F306" s="10">
        <f>+C306*D306*E306</f>
        <v>23</v>
      </c>
      <c r="G306" s="10"/>
      <c r="H306" s="10"/>
      <c r="I306" s="10"/>
      <c r="J306" s="14"/>
      <c r="K306" s="14"/>
      <c r="L306" s="22"/>
      <c r="M306" s="47"/>
      <c r="N306" s="41"/>
      <c r="O306" s="22"/>
      <c r="P306" s="22"/>
      <c r="Q306" s="45"/>
      <c r="S306" s="50"/>
      <c r="T306" s="50"/>
      <c r="U306" s="50"/>
      <c r="V306" s="50"/>
    </row>
    <row r="307" spans="1:22" s="2" customFormat="1" hidden="1" outlineLevel="1" x14ac:dyDescent="0.35">
      <c r="A307" s="8"/>
      <c r="B307" s="9"/>
      <c r="C307" s="9"/>
      <c r="D307" s="9"/>
      <c r="E307" s="9"/>
      <c r="F307" s="10"/>
      <c r="G307" s="10"/>
      <c r="H307" s="10"/>
      <c r="I307" s="10"/>
      <c r="J307" s="14"/>
      <c r="K307" s="14"/>
      <c r="L307" s="22"/>
      <c r="M307" s="47"/>
      <c r="N307" s="41"/>
      <c r="O307" s="22"/>
      <c r="P307" s="22"/>
      <c r="Q307" s="45"/>
      <c r="S307" s="50"/>
      <c r="T307" s="50"/>
      <c r="U307" s="50"/>
      <c r="V307" s="50"/>
    </row>
    <row r="308" spans="1:22" s="2" customFormat="1" hidden="1" outlineLevel="1" x14ac:dyDescent="0.35">
      <c r="A308" s="8"/>
      <c r="B308" s="9"/>
      <c r="C308" s="9"/>
      <c r="D308" s="9">
        <v>1</v>
      </c>
      <c r="E308" s="9">
        <v>1</v>
      </c>
      <c r="F308" s="10">
        <f>+C308*D308*E308</f>
        <v>0</v>
      </c>
      <c r="G308" s="10"/>
      <c r="H308" s="10"/>
      <c r="I308" s="10"/>
      <c r="J308" s="14"/>
      <c r="K308" s="14"/>
      <c r="L308" s="22"/>
      <c r="M308" s="47"/>
      <c r="N308" s="41"/>
      <c r="O308" s="22"/>
      <c r="P308" s="22"/>
      <c r="Q308" s="45"/>
      <c r="S308" s="50"/>
      <c r="T308" s="50"/>
      <c r="U308" s="50"/>
      <c r="V308" s="50"/>
    </row>
    <row r="309" spans="1:22" s="2" customFormat="1" hidden="1" outlineLevel="1" x14ac:dyDescent="0.35">
      <c r="A309" s="8"/>
      <c r="B309" s="9"/>
      <c r="C309" s="9"/>
      <c r="D309" s="9"/>
      <c r="E309" s="9"/>
      <c r="F309" s="10"/>
      <c r="G309" s="10"/>
      <c r="H309" s="10"/>
      <c r="I309" s="10"/>
      <c r="J309" s="14"/>
      <c r="K309" s="14"/>
      <c r="L309" s="22"/>
      <c r="M309" s="47"/>
      <c r="N309" s="41"/>
      <c r="O309" s="22"/>
      <c r="P309" s="22"/>
      <c r="Q309" s="45"/>
      <c r="S309" s="50"/>
      <c r="T309" s="50"/>
      <c r="U309" s="50"/>
      <c r="V309" s="50"/>
    </row>
    <row r="310" spans="1:22" s="2" customFormat="1" hidden="1" outlineLevel="1" x14ac:dyDescent="0.35">
      <c r="A310" s="8"/>
      <c r="B310" s="9"/>
      <c r="C310" s="9"/>
      <c r="D310" s="9"/>
      <c r="E310" s="9"/>
      <c r="F310" s="10">
        <f>SUM(F304:F309)</f>
        <v>46</v>
      </c>
      <c r="G310" s="10"/>
      <c r="H310" s="10"/>
      <c r="I310" s="10"/>
      <c r="J310" s="14"/>
      <c r="K310" s="14"/>
      <c r="L310" s="22"/>
      <c r="M310" s="47"/>
      <c r="N310" s="41"/>
      <c r="O310" s="22"/>
      <c r="P310" s="22"/>
      <c r="Q310" s="45"/>
      <c r="S310" s="50"/>
      <c r="T310" s="50"/>
      <c r="U310" s="50"/>
      <c r="V310" s="50"/>
    </row>
    <row r="311" spans="1:22" collapsed="1" x14ac:dyDescent="0.35">
      <c r="A311" s="6"/>
      <c r="B311" s="56"/>
      <c r="C311" s="56"/>
      <c r="D311" s="56"/>
      <c r="E311" s="56"/>
      <c r="F311" s="6"/>
      <c r="G311" s="6"/>
      <c r="H311" s="6"/>
      <c r="I311" s="6"/>
      <c r="J311" s="14"/>
      <c r="K311" s="14"/>
      <c r="L311" s="21"/>
      <c r="M311" s="46"/>
      <c r="N311" s="40"/>
      <c r="O311" s="21"/>
      <c r="P311" s="21"/>
      <c r="Q311" s="45"/>
      <c r="S311" s="3"/>
      <c r="T311" s="3"/>
      <c r="U311" s="3"/>
      <c r="V311" s="3"/>
    </row>
    <row r="312" spans="1:22" x14ac:dyDescent="0.35">
      <c r="A312" s="6">
        <f>+A303+1</f>
        <v>4</v>
      </c>
      <c r="B312" s="57" t="s">
        <v>99</v>
      </c>
      <c r="C312" s="57"/>
      <c r="D312" s="57"/>
      <c r="E312" s="57"/>
      <c r="F312" s="58">
        <v>366</v>
      </c>
      <c r="G312" s="6" t="s">
        <v>38</v>
      </c>
      <c r="H312" s="6"/>
      <c r="I312" s="6" t="str">
        <f>+$Q$2</f>
        <v>??</v>
      </c>
      <c r="J312" s="14" t="e">
        <f>+F312*H312*I312</f>
        <v>#VALUE!</v>
      </c>
      <c r="K312" s="14"/>
      <c r="L312" s="21"/>
      <c r="M312" s="46">
        <v>0.1</v>
      </c>
      <c r="N312" s="40">
        <f>+L312*M312</f>
        <v>0</v>
      </c>
      <c r="O312" s="21"/>
      <c r="P312" s="21"/>
      <c r="Q312" s="45">
        <f>+(F312*L312)+(F312*N312)+O312+P312</f>
        <v>0</v>
      </c>
      <c r="S312" s="53" t="e">
        <f>+T312/F312</f>
        <v>#VALUE!</v>
      </c>
      <c r="T312" s="49" t="e">
        <f>+J312+K312+Q312</f>
        <v>#VALUE!</v>
      </c>
      <c r="U312" s="49"/>
      <c r="V312" s="53">
        <f>+F312*H312</f>
        <v>0</v>
      </c>
    </row>
    <row r="313" spans="1:22" s="2" customFormat="1" hidden="1" outlineLevel="1" x14ac:dyDescent="0.35">
      <c r="A313" s="8"/>
      <c r="B313" s="67" t="s">
        <v>96</v>
      </c>
      <c r="C313" s="9">
        <v>23</v>
      </c>
      <c r="D313" s="9">
        <v>1</v>
      </c>
      <c r="E313" s="9">
        <v>2</v>
      </c>
      <c r="F313" s="10">
        <f>+C313*D313*E313</f>
        <v>46</v>
      </c>
      <c r="G313" s="10"/>
      <c r="H313" s="10"/>
      <c r="I313" s="10"/>
      <c r="J313" s="14"/>
      <c r="K313" s="14"/>
      <c r="L313" s="22"/>
      <c r="M313" s="47"/>
      <c r="N313" s="41"/>
      <c r="O313" s="22"/>
      <c r="P313" s="22"/>
      <c r="Q313" s="45"/>
      <c r="S313" s="50"/>
      <c r="T313" s="50"/>
      <c r="U313" s="50"/>
      <c r="V313" s="50"/>
    </row>
    <row r="314" spans="1:22" s="2" customFormat="1" hidden="1" outlineLevel="1" x14ac:dyDescent="0.35">
      <c r="A314" s="8"/>
      <c r="B314" s="9" t="s">
        <v>93</v>
      </c>
      <c r="C314" s="9">
        <v>23</v>
      </c>
      <c r="D314" s="9">
        <v>1</v>
      </c>
      <c r="E314" s="9">
        <v>2</v>
      </c>
      <c r="F314" s="10">
        <f>+C314*D314*E314</f>
        <v>46</v>
      </c>
      <c r="G314" s="10"/>
      <c r="H314" s="10"/>
      <c r="I314" s="10"/>
      <c r="J314" s="14"/>
      <c r="K314" s="14"/>
      <c r="L314" s="22"/>
      <c r="M314" s="47"/>
      <c r="N314" s="41"/>
      <c r="O314" s="22"/>
      <c r="P314" s="22"/>
      <c r="Q314" s="45"/>
      <c r="S314" s="50"/>
      <c r="T314" s="50"/>
      <c r="U314" s="50"/>
      <c r="V314" s="50"/>
    </row>
    <row r="315" spans="1:22" s="2" customFormat="1" hidden="1" outlineLevel="1" x14ac:dyDescent="0.35">
      <c r="A315" s="8"/>
      <c r="B315" s="9" t="s">
        <v>94</v>
      </c>
      <c r="C315" s="9">
        <f>23/0.4+2</f>
        <v>59.5</v>
      </c>
      <c r="D315" s="9">
        <v>2</v>
      </c>
      <c r="E315" s="9">
        <v>1</v>
      </c>
      <c r="F315" s="10">
        <f>+C315*D315*E315</f>
        <v>119</v>
      </c>
      <c r="G315" s="10"/>
      <c r="H315" s="10"/>
      <c r="I315" s="10"/>
      <c r="J315" s="14"/>
      <c r="K315" s="14"/>
      <c r="L315" s="22"/>
      <c r="M315" s="47"/>
      <c r="N315" s="41"/>
      <c r="O315" s="22"/>
      <c r="P315" s="22"/>
      <c r="Q315" s="45"/>
      <c r="S315" s="50"/>
      <c r="T315" s="50"/>
      <c r="U315" s="50"/>
      <c r="V315" s="50"/>
    </row>
    <row r="316" spans="1:22" s="2" customFormat="1" hidden="1" outlineLevel="1" x14ac:dyDescent="0.35">
      <c r="A316" s="8"/>
      <c r="B316" s="9"/>
      <c r="C316" s="9">
        <f>3.6/0.4+2</f>
        <v>11</v>
      </c>
      <c r="D316" s="9">
        <v>1.5</v>
      </c>
      <c r="E316" s="9">
        <v>2</v>
      </c>
      <c r="F316" s="10">
        <f>+C316*D316*E316</f>
        <v>33</v>
      </c>
      <c r="G316" s="10"/>
      <c r="H316" s="10"/>
      <c r="I316" s="10"/>
      <c r="J316" s="14"/>
      <c r="K316" s="14"/>
      <c r="L316" s="22"/>
      <c r="M316" s="47"/>
      <c r="N316" s="41"/>
      <c r="O316" s="22"/>
      <c r="P316" s="22"/>
      <c r="Q316" s="45"/>
      <c r="S316" s="50"/>
      <c r="T316" s="50"/>
      <c r="U316" s="50"/>
      <c r="V316" s="50"/>
    </row>
    <row r="317" spans="1:22" s="2" customFormat="1" hidden="1" outlineLevel="1" x14ac:dyDescent="0.35">
      <c r="A317" s="8"/>
      <c r="B317" s="9"/>
      <c r="C317" s="9"/>
      <c r="D317" s="9">
        <v>1</v>
      </c>
      <c r="E317" s="9">
        <v>1</v>
      </c>
      <c r="F317" s="10">
        <f>+C317*D317*E317</f>
        <v>0</v>
      </c>
      <c r="G317" s="10"/>
      <c r="H317" s="10"/>
      <c r="I317" s="10"/>
      <c r="J317" s="14"/>
      <c r="K317" s="14"/>
      <c r="L317" s="22"/>
      <c r="M317" s="47"/>
      <c r="N317" s="41"/>
      <c r="O317" s="22"/>
      <c r="P317" s="22"/>
      <c r="Q317" s="45"/>
      <c r="S317" s="50"/>
      <c r="T317" s="50"/>
      <c r="U317" s="50"/>
      <c r="V317" s="50"/>
    </row>
    <row r="318" spans="1:22" s="2" customFormat="1" hidden="1" outlineLevel="1" x14ac:dyDescent="0.35">
      <c r="A318" s="8"/>
      <c r="B318" s="9"/>
      <c r="C318" s="9"/>
      <c r="D318" s="9"/>
      <c r="E318" s="9"/>
      <c r="F318" s="10"/>
      <c r="G318" s="10"/>
      <c r="H318" s="10"/>
      <c r="I318" s="10"/>
      <c r="J318" s="14"/>
      <c r="K318" s="14"/>
      <c r="L318" s="22"/>
      <c r="M318" s="47"/>
      <c r="N318" s="41"/>
      <c r="O318" s="22"/>
      <c r="P318" s="22"/>
      <c r="Q318" s="45"/>
      <c r="S318" s="50"/>
      <c r="T318" s="50"/>
      <c r="U318" s="50"/>
      <c r="V318" s="50"/>
    </row>
    <row r="319" spans="1:22" s="2" customFormat="1" hidden="1" outlineLevel="1" x14ac:dyDescent="0.35">
      <c r="A319" s="8"/>
      <c r="B319" s="9"/>
      <c r="C319" s="9"/>
      <c r="D319" s="9"/>
      <c r="E319" s="9"/>
      <c r="F319" s="10">
        <f>SUM(F313:F318)</f>
        <v>244</v>
      </c>
      <c r="G319" s="10"/>
      <c r="H319" s="10"/>
      <c r="I319" s="10"/>
      <c r="J319" s="14"/>
      <c r="K319" s="14"/>
      <c r="L319" s="22"/>
      <c r="M319" s="47"/>
      <c r="N319" s="41"/>
      <c r="O319" s="22"/>
      <c r="P319" s="22"/>
      <c r="Q319" s="45"/>
      <c r="S319" s="50"/>
      <c r="T319" s="50"/>
      <c r="U319" s="50"/>
      <c r="V319" s="50"/>
    </row>
    <row r="320" spans="1:22" collapsed="1" x14ac:dyDescent="0.35">
      <c r="A320" s="6"/>
      <c r="B320" s="56"/>
      <c r="C320" s="56"/>
      <c r="D320" s="56"/>
      <c r="E320" s="56"/>
      <c r="F320" s="6"/>
      <c r="G320" s="6"/>
      <c r="H320" s="6"/>
      <c r="I320" s="6"/>
      <c r="J320" s="14"/>
      <c r="K320" s="14"/>
      <c r="L320" s="21"/>
      <c r="M320" s="46"/>
      <c r="N320" s="40"/>
      <c r="O320" s="21"/>
      <c r="P320" s="21"/>
      <c r="Q320" s="45"/>
      <c r="S320" s="3"/>
      <c r="T320" s="3"/>
      <c r="U320" s="3"/>
      <c r="V320" s="3"/>
    </row>
    <row r="321" spans="1:22" x14ac:dyDescent="0.35">
      <c r="A321" s="6">
        <f>+A312+1</f>
        <v>5</v>
      </c>
      <c r="B321" s="57" t="s">
        <v>115</v>
      </c>
      <c r="C321" s="57"/>
      <c r="D321" s="57"/>
      <c r="E321" s="57"/>
      <c r="F321" s="58">
        <v>1</v>
      </c>
      <c r="G321" s="6" t="s">
        <v>100</v>
      </c>
      <c r="H321" s="6"/>
      <c r="I321" s="6" t="str">
        <f>+$Q$2</f>
        <v>??</v>
      </c>
      <c r="J321" s="14" t="e">
        <f>+F321*H321*I321</f>
        <v>#VALUE!</v>
      </c>
      <c r="K321" s="14"/>
      <c r="L321" s="21"/>
      <c r="M321" s="46">
        <v>0.1</v>
      </c>
      <c r="N321" s="40">
        <f>+L321*M321</f>
        <v>0</v>
      </c>
      <c r="O321" s="21"/>
      <c r="P321" s="21"/>
      <c r="Q321" s="45">
        <f>+(F321*L321)+(F321*N321)+O321+P321</f>
        <v>0</v>
      </c>
      <c r="S321" s="53" t="e">
        <f>+T321/F321</f>
        <v>#VALUE!</v>
      </c>
      <c r="T321" s="49" t="e">
        <f>+J321+K321+Q321</f>
        <v>#VALUE!</v>
      </c>
      <c r="U321" s="49"/>
      <c r="V321" s="53">
        <f>+F321*H321</f>
        <v>0</v>
      </c>
    </row>
    <row r="322" spans="1:22" x14ac:dyDescent="0.35">
      <c r="A322" s="6"/>
      <c r="B322" s="56"/>
      <c r="C322" s="56"/>
      <c r="D322" s="56"/>
      <c r="E322" s="56"/>
      <c r="F322" s="6"/>
      <c r="G322" s="6"/>
      <c r="H322" s="6"/>
      <c r="I322" s="6"/>
      <c r="J322" s="14"/>
      <c r="K322" s="14"/>
      <c r="L322" s="21"/>
      <c r="M322" s="46"/>
      <c r="N322" s="40"/>
      <c r="O322" s="21"/>
      <c r="P322" s="21"/>
      <c r="Q322" s="45"/>
      <c r="S322" s="3"/>
      <c r="T322" s="3"/>
      <c r="U322" s="3"/>
      <c r="V322" s="3"/>
    </row>
    <row r="323" spans="1:22" x14ac:dyDescent="0.35">
      <c r="A323" s="6">
        <f>+A321+1</f>
        <v>6</v>
      </c>
      <c r="B323" s="57" t="s">
        <v>106</v>
      </c>
      <c r="C323" s="57"/>
      <c r="D323" s="57"/>
      <c r="E323" s="57"/>
      <c r="F323" s="58">
        <v>166</v>
      </c>
      <c r="G323" s="6" t="s">
        <v>38</v>
      </c>
      <c r="H323" s="6"/>
      <c r="I323" s="6" t="str">
        <f>+$Q$2</f>
        <v>??</v>
      </c>
      <c r="J323" s="14" t="e">
        <f>+F323*H323*I323</f>
        <v>#VALUE!</v>
      </c>
      <c r="K323" s="14"/>
      <c r="L323" s="21"/>
      <c r="M323" s="46">
        <v>0.1</v>
      </c>
      <c r="N323" s="40">
        <f>+L323*M323</f>
        <v>0</v>
      </c>
      <c r="O323" s="21"/>
      <c r="P323" s="21"/>
      <c r="Q323" s="45">
        <f>+(F323*L323)+(F323*N323)+O323+P323</f>
        <v>0</v>
      </c>
      <c r="S323" s="53" t="e">
        <f>+T323/F323</f>
        <v>#VALUE!</v>
      </c>
      <c r="T323" s="49" t="e">
        <f>+J323+K323+Q323</f>
        <v>#VALUE!</v>
      </c>
      <c r="U323" s="49"/>
      <c r="V323" s="53">
        <f>+F323*H323</f>
        <v>0</v>
      </c>
    </row>
    <row r="324" spans="1:22" s="2" customFormat="1" hidden="1" outlineLevel="1" x14ac:dyDescent="0.35">
      <c r="A324" s="8"/>
      <c r="B324" s="67" t="s">
        <v>37</v>
      </c>
      <c r="C324" s="9">
        <v>23</v>
      </c>
      <c r="D324" s="9">
        <v>1</v>
      </c>
      <c r="E324" s="9">
        <v>2</v>
      </c>
      <c r="F324" s="10">
        <f>+C324*D324*E324</f>
        <v>46</v>
      </c>
      <c r="G324" s="10"/>
      <c r="H324" s="10"/>
      <c r="I324" s="10"/>
      <c r="J324" s="14"/>
      <c r="K324" s="14"/>
      <c r="L324" s="22"/>
      <c r="M324" s="47"/>
      <c r="N324" s="41"/>
      <c r="O324" s="22"/>
      <c r="P324" s="22"/>
      <c r="Q324" s="45"/>
      <c r="S324" s="50"/>
      <c r="T324" s="50"/>
      <c r="U324" s="50"/>
      <c r="V324" s="50"/>
    </row>
    <row r="325" spans="1:22" s="2" customFormat="1" hidden="1" outlineLevel="1" x14ac:dyDescent="0.35">
      <c r="A325" s="8"/>
      <c r="B325" s="9" t="s">
        <v>107</v>
      </c>
      <c r="C325" s="9">
        <v>23</v>
      </c>
      <c r="D325" s="9">
        <v>1</v>
      </c>
      <c r="E325" s="9">
        <v>2</v>
      </c>
      <c r="F325" s="10">
        <f>+C325*D325*E325</f>
        <v>46</v>
      </c>
      <c r="G325" s="10"/>
      <c r="H325" s="10"/>
      <c r="I325" s="10"/>
      <c r="J325" s="14"/>
      <c r="K325" s="14"/>
      <c r="L325" s="22"/>
      <c r="M325" s="47"/>
      <c r="N325" s="41"/>
      <c r="O325" s="22"/>
      <c r="P325" s="22"/>
      <c r="Q325" s="45"/>
      <c r="S325" s="50"/>
      <c r="T325" s="50"/>
      <c r="U325" s="50"/>
      <c r="V325" s="50"/>
    </row>
    <row r="326" spans="1:22" s="2" customFormat="1" hidden="1" outlineLevel="1" x14ac:dyDescent="0.35">
      <c r="A326" s="8"/>
      <c r="B326" s="9"/>
      <c r="C326" s="9"/>
      <c r="D326" s="9"/>
      <c r="E326" s="9">
        <v>1</v>
      </c>
      <c r="F326" s="10">
        <f>+C326*D326*E326</f>
        <v>0</v>
      </c>
      <c r="G326" s="10"/>
      <c r="H326" s="10"/>
      <c r="I326" s="10"/>
      <c r="J326" s="14"/>
      <c r="K326" s="14"/>
      <c r="L326" s="22"/>
      <c r="M326" s="47"/>
      <c r="N326" s="41"/>
      <c r="O326" s="22"/>
      <c r="P326" s="22"/>
      <c r="Q326" s="45"/>
      <c r="S326" s="50"/>
      <c r="T326" s="50"/>
      <c r="U326" s="50"/>
      <c r="V326" s="50"/>
    </row>
    <row r="327" spans="1:22" s="2" customFormat="1" hidden="1" outlineLevel="1" x14ac:dyDescent="0.35">
      <c r="A327" s="8"/>
      <c r="B327" s="9"/>
      <c r="C327" s="9"/>
      <c r="D327" s="9"/>
      <c r="E327" s="9">
        <v>2</v>
      </c>
      <c r="F327" s="10">
        <f>+C327*D327*E327</f>
        <v>0</v>
      </c>
      <c r="G327" s="10"/>
      <c r="H327" s="10"/>
      <c r="I327" s="10"/>
      <c r="J327" s="14"/>
      <c r="K327" s="14"/>
      <c r="L327" s="22"/>
      <c r="M327" s="47"/>
      <c r="N327" s="41"/>
      <c r="O327" s="22"/>
      <c r="P327" s="22"/>
      <c r="Q327" s="45"/>
      <c r="S327" s="50"/>
      <c r="T327" s="50"/>
      <c r="U327" s="50"/>
      <c r="V327" s="50"/>
    </row>
    <row r="328" spans="1:22" s="2" customFormat="1" hidden="1" outlineLevel="1" x14ac:dyDescent="0.35">
      <c r="A328" s="8"/>
      <c r="B328" s="9"/>
      <c r="C328" s="9"/>
      <c r="D328" s="9">
        <v>1</v>
      </c>
      <c r="E328" s="9">
        <v>1</v>
      </c>
      <c r="F328" s="10">
        <f>+C328*D328*E328</f>
        <v>0</v>
      </c>
      <c r="G328" s="10"/>
      <c r="H328" s="10"/>
      <c r="I328" s="10"/>
      <c r="J328" s="14"/>
      <c r="K328" s="14"/>
      <c r="L328" s="22"/>
      <c r="M328" s="47"/>
      <c r="N328" s="41"/>
      <c r="O328" s="22"/>
      <c r="P328" s="22"/>
      <c r="Q328" s="45"/>
      <c r="S328" s="50"/>
      <c r="T328" s="50"/>
      <c r="U328" s="50"/>
      <c r="V328" s="50"/>
    </row>
    <row r="329" spans="1:22" s="2" customFormat="1" hidden="1" outlineLevel="1" x14ac:dyDescent="0.35">
      <c r="A329" s="8"/>
      <c r="B329" s="9"/>
      <c r="C329" s="9"/>
      <c r="D329" s="9"/>
      <c r="E329" s="9"/>
      <c r="F329" s="10"/>
      <c r="G329" s="10"/>
      <c r="H329" s="10"/>
      <c r="I329" s="10"/>
      <c r="J329" s="14"/>
      <c r="K329" s="14"/>
      <c r="L329" s="22"/>
      <c r="M329" s="47"/>
      <c r="N329" s="41"/>
      <c r="O329" s="22"/>
      <c r="P329" s="22"/>
      <c r="Q329" s="45"/>
      <c r="S329" s="50"/>
      <c r="T329" s="50"/>
      <c r="U329" s="50"/>
      <c r="V329" s="50"/>
    </row>
    <row r="330" spans="1:22" s="2" customFormat="1" hidden="1" outlineLevel="1" x14ac:dyDescent="0.35">
      <c r="A330" s="8"/>
      <c r="B330" s="9"/>
      <c r="C330" s="9"/>
      <c r="D330" s="9"/>
      <c r="E330" s="9"/>
      <c r="F330" s="10">
        <f>SUM(F324:F329)</f>
        <v>92</v>
      </c>
      <c r="G330" s="10"/>
      <c r="H330" s="10"/>
      <c r="I330" s="10"/>
      <c r="J330" s="14"/>
      <c r="K330" s="14"/>
      <c r="L330" s="22"/>
      <c r="M330" s="47"/>
      <c r="N330" s="41"/>
      <c r="O330" s="22"/>
      <c r="P330" s="22"/>
      <c r="Q330" s="45"/>
      <c r="S330" s="50"/>
      <c r="T330" s="50"/>
      <c r="U330" s="50"/>
      <c r="V330" s="50"/>
    </row>
    <row r="331" spans="1:22" collapsed="1" x14ac:dyDescent="0.35">
      <c r="A331" s="6"/>
      <c r="B331" s="56"/>
      <c r="C331" s="56"/>
      <c r="D331" s="56"/>
      <c r="E331" s="56"/>
      <c r="F331" s="6"/>
      <c r="G331" s="6"/>
      <c r="H331" s="6"/>
      <c r="I331" s="6"/>
      <c r="J331" s="14"/>
      <c r="K331" s="14"/>
      <c r="L331" s="21"/>
      <c r="M331" s="46"/>
      <c r="N331" s="40"/>
      <c r="O331" s="21"/>
      <c r="P331" s="21"/>
      <c r="Q331" s="45"/>
      <c r="S331" s="3"/>
      <c r="T331" s="3"/>
      <c r="U331" s="3"/>
      <c r="V331" s="3"/>
    </row>
    <row r="332" spans="1:22" s="78" customFormat="1" ht="29" x14ac:dyDescent="0.35">
      <c r="A332" s="69">
        <f>+A323+1</f>
        <v>7</v>
      </c>
      <c r="B332" s="70" t="s">
        <v>102</v>
      </c>
      <c r="C332" s="71"/>
      <c r="D332" s="71"/>
      <c r="E332" s="71"/>
      <c r="F332" s="72">
        <v>65</v>
      </c>
      <c r="G332" s="69" t="s">
        <v>10</v>
      </c>
      <c r="H332" s="69"/>
      <c r="I332" s="69" t="str">
        <f>+$Q$2</f>
        <v>??</v>
      </c>
      <c r="J332" s="73" t="e">
        <f>+F332*H332*I332</f>
        <v>#VALUE!</v>
      </c>
      <c r="K332" s="73"/>
      <c r="L332" s="74"/>
      <c r="M332" s="75">
        <v>0.1</v>
      </c>
      <c r="N332" s="76">
        <f>+L332*M332</f>
        <v>0</v>
      </c>
      <c r="O332" s="74"/>
      <c r="P332" s="74"/>
      <c r="Q332" s="77">
        <f>+(F332*L332)+(F332*N332)+O332+P332</f>
        <v>0</v>
      </c>
      <c r="S332" s="79" t="e">
        <f>+T332/F332</f>
        <v>#VALUE!</v>
      </c>
      <c r="T332" s="80" t="e">
        <f>+J332+K332+Q332</f>
        <v>#VALUE!</v>
      </c>
      <c r="U332" s="80"/>
      <c r="V332" s="79">
        <f>+F332*H332</f>
        <v>0</v>
      </c>
    </row>
    <row r="333" spans="1:22" s="2" customFormat="1" hidden="1" outlineLevel="1" x14ac:dyDescent="0.35">
      <c r="A333" s="8"/>
      <c r="B333" s="67" t="s">
        <v>96</v>
      </c>
      <c r="C333" s="9">
        <v>23</v>
      </c>
      <c r="D333" s="9">
        <v>2</v>
      </c>
      <c r="E333" s="9">
        <v>1</v>
      </c>
      <c r="F333" s="10">
        <f>+C333*D333*E333</f>
        <v>46</v>
      </c>
      <c r="G333" s="10"/>
      <c r="H333" s="10"/>
      <c r="I333" s="10"/>
      <c r="J333" s="14"/>
      <c r="K333" s="14"/>
      <c r="L333" s="22"/>
      <c r="M333" s="47"/>
      <c r="N333" s="41"/>
      <c r="O333" s="22"/>
      <c r="P333" s="22"/>
      <c r="Q333" s="45"/>
      <c r="S333" s="50"/>
      <c r="T333" s="50"/>
      <c r="U333" s="50"/>
      <c r="V333" s="50"/>
    </row>
    <row r="334" spans="1:22" s="2" customFormat="1" hidden="1" outlineLevel="1" x14ac:dyDescent="0.35">
      <c r="A334" s="8"/>
      <c r="B334" s="9"/>
      <c r="C334" s="9">
        <v>3.2</v>
      </c>
      <c r="D334" s="9">
        <v>1.5</v>
      </c>
      <c r="E334" s="9">
        <v>2</v>
      </c>
      <c r="F334" s="10">
        <f>+C334*D334*E334</f>
        <v>9.6000000000000014</v>
      </c>
      <c r="G334" s="10"/>
      <c r="H334" s="10"/>
      <c r="I334" s="10"/>
      <c r="J334" s="14"/>
      <c r="K334" s="14"/>
      <c r="L334" s="22"/>
      <c r="M334" s="47"/>
      <c r="N334" s="41"/>
      <c r="O334" s="22"/>
      <c r="P334" s="22"/>
      <c r="Q334" s="45"/>
      <c r="S334" s="50"/>
      <c r="T334" s="50"/>
      <c r="U334" s="50"/>
      <c r="V334" s="50"/>
    </row>
    <row r="335" spans="1:22" s="2" customFormat="1" hidden="1" outlineLevel="1" x14ac:dyDescent="0.35">
      <c r="A335" s="8"/>
      <c r="B335" s="9" t="s">
        <v>101</v>
      </c>
      <c r="C335" s="9">
        <v>2</v>
      </c>
      <c r="D335" s="9">
        <v>0.15</v>
      </c>
      <c r="E335" s="9">
        <v>4</v>
      </c>
      <c r="F335" s="10">
        <f>+C335*D335*E335</f>
        <v>1.2</v>
      </c>
      <c r="G335" s="10"/>
      <c r="H335" s="10"/>
      <c r="I335" s="10"/>
      <c r="J335" s="14"/>
      <c r="K335" s="14"/>
      <c r="L335" s="22"/>
      <c r="M335" s="47"/>
      <c r="N335" s="41"/>
      <c r="O335" s="22"/>
      <c r="P335" s="22"/>
      <c r="Q335" s="45"/>
      <c r="S335" s="50"/>
      <c r="T335" s="50"/>
      <c r="U335" s="50"/>
      <c r="V335" s="50"/>
    </row>
    <row r="336" spans="1:22" s="2" customFormat="1" hidden="1" outlineLevel="1" x14ac:dyDescent="0.35">
      <c r="A336" s="8"/>
      <c r="B336" s="9"/>
      <c r="C336" s="9"/>
      <c r="D336" s="9"/>
      <c r="E336" s="9">
        <v>2</v>
      </c>
      <c r="F336" s="10">
        <f>+C336*D336*E336</f>
        <v>0</v>
      </c>
      <c r="G336" s="10"/>
      <c r="H336" s="10"/>
      <c r="I336" s="10"/>
      <c r="J336" s="14"/>
      <c r="K336" s="14"/>
      <c r="L336" s="22"/>
      <c r="M336" s="47"/>
      <c r="N336" s="41"/>
      <c r="O336" s="22"/>
      <c r="P336" s="22"/>
      <c r="Q336" s="45"/>
      <c r="S336" s="50"/>
      <c r="T336" s="50"/>
      <c r="U336" s="50"/>
      <c r="V336" s="50"/>
    </row>
    <row r="337" spans="1:22" s="2" customFormat="1" hidden="1" outlineLevel="1" x14ac:dyDescent="0.35">
      <c r="A337" s="8"/>
      <c r="B337" s="9" t="s">
        <v>87</v>
      </c>
      <c r="C337" s="9">
        <v>14.6</v>
      </c>
      <c r="D337" s="9">
        <v>0.6</v>
      </c>
      <c r="E337" s="9">
        <v>1</v>
      </c>
      <c r="F337" s="10">
        <f>+C337*D337*E337</f>
        <v>8.76</v>
      </c>
      <c r="G337" s="10"/>
      <c r="H337" s="10"/>
      <c r="I337" s="10"/>
      <c r="J337" s="14"/>
      <c r="K337" s="14"/>
      <c r="L337" s="22"/>
      <c r="M337" s="47"/>
      <c r="N337" s="41"/>
      <c r="O337" s="22"/>
      <c r="P337" s="22"/>
      <c r="Q337" s="45"/>
      <c r="S337" s="50"/>
      <c r="T337" s="50"/>
      <c r="U337" s="50"/>
      <c r="V337" s="50"/>
    </row>
    <row r="338" spans="1:22" s="2" customFormat="1" hidden="1" outlineLevel="1" x14ac:dyDescent="0.35">
      <c r="A338" s="8"/>
      <c r="B338" s="9"/>
      <c r="C338" s="9"/>
      <c r="D338" s="9"/>
      <c r="E338" s="9"/>
      <c r="F338" s="10"/>
      <c r="G338" s="10"/>
      <c r="H338" s="10"/>
      <c r="I338" s="10"/>
      <c r="J338" s="14"/>
      <c r="K338" s="14"/>
      <c r="L338" s="22"/>
      <c r="M338" s="47"/>
      <c r="N338" s="41"/>
      <c r="O338" s="22"/>
      <c r="P338" s="22"/>
      <c r="Q338" s="45"/>
      <c r="S338" s="50"/>
      <c r="T338" s="50"/>
      <c r="U338" s="50"/>
      <c r="V338" s="50"/>
    </row>
    <row r="339" spans="1:22" s="2" customFormat="1" hidden="1" outlineLevel="1" x14ac:dyDescent="0.35">
      <c r="A339" s="8"/>
      <c r="B339" s="9"/>
      <c r="C339" s="9"/>
      <c r="D339" s="9"/>
      <c r="E339" s="9"/>
      <c r="F339" s="10">
        <f>SUM(F333:F338)</f>
        <v>65.56</v>
      </c>
      <c r="G339" s="10"/>
      <c r="H339" s="10"/>
      <c r="I339" s="10"/>
      <c r="J339" s="14"/>
      <c r="K339" s="14"/>
      <c r="L339" s="22"/>
      <c r="M339" s="47"/>
      <c r="N339" s="41"/>
      <c r="O339" s="22"/>
      <c r="P339" s="22"/>
      <c r="Q339" s="45"/>
      <c r="S339" s="50"/>
      <c r="T339" s="50"/>
      <c r="U339" s="50"/>
      <c r="V339" s="50"/>
    </row>
    <row r="340" spans="1:22" collapsed="1" x14ac:dyDescent="0.35">
      <c r="A340" s="6"/>
      <c r="B340" s="56"/>
      <c r="C340" s="56"/>
      <c r="D340" s="56"/>
      <c r="E340" s="56"/>
      <c r="F340" s="6"/>
      <c r="G340" s="6"/>
      <c r="H340" s="6"/>
      <c r="I340" s="6"/>
      <c r="J340" s="14"/>
      <c r="K340" s="14"/>
      <c r="L340" s="21"/>
      <c r="M340" s="46"/>
      <c r="N340" s="40"/>
      <c r="O340" s="21"/>
      <c r="P340" s="21"/>
      <c r="Q340" s="45"/>
      <c r="S340" s="3"/>
      <c r="T340" s="3"/>
      <c r="U340" s="3"/>
      <c r="V340" s="3"/>
    </row>
    <row r="341" spans="1:22" s="97" customFormat="1" ht="29" x14ac:dyDescent="0.35">
      <c r="A341" s="90">
        <f>+A332+1</f>
        <v>8</v>
      </c>
      <c r="B341" s="70" t="s">
        <v>103</v>
      </c>
      <c r="C341" s="70"/>
      <c r="D341" s="70"/>
      <c r="E341" s="70"/>
      <c r="F341" s="91">
        <f>+ROUNDUP(F356,0)</f>
        <v>420</v>
      </c>
      <c r="G341" s="90" t="s">
        <v>10</v>
      </c>
      <c r="H341" s="90"/>
      <c r="I341" s="90" t="str">
        <f>+$Q$2</f>
        <v>??</v>
      </c>
      <c r="J341" s="92" t="e">
        <f>+F341*H341*I341</f>
        <v>#VALUE!</v>
      </c>
      <c r="K341" s="92"/>
      <c r="L341" s="93"/>
      <c r="M341" s="94">
        <v>0.1</v>
      </c>
      <c r="N341" s="95">
        <f>+L341*M341</f>
        <v>0</v>
      </c>
      <c r="O341" s="93"/>
      <c r="P341" s="93"/>
      <c r="Q341" s="96">
        <f>+(F341*L341)+(F341*N341)+O341+P341</f>
        <v>0</v>
      </c>
      <c r="S341" s="98" t="e">
        <f>+T341/F341</f>
        <v>#VALUE!</v>
      </c>
      <c r="T341" s="99" t="e">
        <f>+J341+K341+Q341</f>
        <v>#VALUE!</v>
      </c>
      <c r="U341" s="99"/>
      <c r="V341" s="98">
        <f>+F341*H341</f>
        <v>0</v>
      </c>
    </row>
    <row r="342" spans="1:22" s="2" customFormat="1" hidden="1" outlineLevel="1" x14ac:dyDescent="0.35">
      <c r="A342" s="8"/>
      <c r="B342" s="9" t="s">
        <v>89</v>
      </c>
      <c r="C342" s="9">
        <v>23</v>
      </c>
      <c r="D342" s="9">
        <v>14.6</v>
      </c>
      <c r="E342" s="9">
        <v>1</v>
      </c>
      <c r="F342" s="10">
        <f>+C342*D342*E342</f>
        <v>335.8</v>
      </c>
      <c r="G342" s="10"/>
      <c r="H342" s="10"/>
      <c r="I342" s="10"/>
      <c r="J342" s="14"/>
      <c r="K342" s="14"/>
      <c r="L342" s="22"/>
      <c r="M342" s="47"/>
      <c r="N342" s="41"/>
      <c r="O342" s="22"/>
      <c r="P342" s="22"/>
      <c r="Q342" s="45"/>
      <c r="S342" s="50"/>
      <c r="T342" s="50"/>
      <c r="U342" s="50"/>
      <c r="V342" s="50"/>
    </row>
    <row r="343" spans="1:22" s="2" customFormat="1" hidden="1" outlineLevel="1" x14ac:dyDescent="0.35">
      <c r="A343" s="8"/>
      <c r="B343" s="9"/>
      <c r="C343" s="9"/>
      <c r="D343" s="9"/>
      <c r="E343" s="9"/>
      <c r="F343" s="10"/>
      <c r="G343" s="10"/>
      <c r="H343" s="10"/>
      <c r="I343" s="10"/>
      <c r="J343" s="14"/>
      <c r="K343" s="14"/>
      <c r="L343" s="22"/>
      <c r="M343" s="47"/>
      <c r="N343" s="41"/>
      <c r="O343" s="22"/>
      <c r="P343" s="22"/>
      <c r="Q343" s="45"/>
      <c r="S343" s="50"/>
      <c r="T343" s="50"/>
      <c r="U343" s="50"/>
      <c r="V343" s="50"/>
    </row>
    <row r="344" spans="1:22" s="2" customFormat="1" hidden="1" outlineLevel="1" x14ac:dyDescent="0.35">
      <c r="A344" s="8"/>
      <c r="B344" s="9" t="s">
        <v>104</v>
      </c>
      <c r="C344" s="9">
        <v>23</v>
      </c>
      <c r="D344" s="9">
        <v>2.15</v>
      </c>
      <c r="E344" s="9">
        <v>1</v>
      </c>
      <c r="F344" s="10">
        <f>+C344*D344*E344</f>
        <v>49.449999999999996</v>
      </c>
      <c r="G344" s="10"/>
      <c r="H344" s="10"/>
      <c r="I344" s="10"/>
      <c r="J344" s="14"/>
      <c r="K344" s="14"/>
      <c r="L344" s="22"/>
      <c r="M344" s="47"/>
      <c r="N344" s="41"/>
      <c r="O344" s="22"/>
      <c r="P344" s="22"/>
      <c r="Q344" s="45"/>
      <c r="S344" s="50"/>
      <c r="T344" s="50"/>
      <c r="U344" s="50"/>
      <c r="V344" s="50"/>
    </row>
    <row r="345" spans="1:22" s="2" customFormat="1" hidden="1" outlineLevel="1" x14ac:dyDescent="0.35">
      <c r="A345" s="8"/>
      <c r="B345" s="9" t="s">
        <v>105</v>
      </c>
      <c r="C345" s="9">
        <v>23</v>
      </c>
      <c r="D345" s="9">
        <v>1.35</v>
      </c>
      <c r="E345" s="9">
        <v>1</v>
      </c>
      <c r="F345" s="10">
        <f>+C345*D345*E345</f>
        <v>31.05</v>
      </c>
      <c r="G345" s="10"/>
      <c r="H345" s="10"/>
      <c r="I345" s="10"/>
      <c r="J345" s="14"/>
      <c r="K345" s="14"/>
      <c r="L345" s="22"/>
      <c r="M345" s="47"/>
      <c r="N345" s="41"/>
      <c r="O345" s="22"/>
      <c r="P345" s="22"/>
      <c r="Q345" s="45"/>
      <c r="S345" s="50"/>
      <c r="T345" s="50"/>
      <c r="U345" s="50"/>
      <c r="V345" s="50"/>
    </row>
    <row r="346" spans="1:22" s="2" customFormat="1" hidden="1" outlineLevel="1" x14ac:dyDescent="0.35">
      <c r="A346" s="8"/>
      <c r="B346" s="9" t="s">
        <v>91</v>
      </c>
      <c r="C346" s="9">
        <v>14.6</v>
      </c>
      <c r="D346" s="9">
        <v>0.25</v>
      </c>
      <c r="E346" s="9">
        <v>1</v>
      </c>
      <c r="F346" s="10">
        <f>+C346*D346*E346</f>
        <v>3.65</v>
      </c>
      <c r="G346" s="10"/>
      <c r="H346" s="10"/>
      <c r="I346" s="10"/>
      <c r="J346" s="14"/>
      <c r="K346" s="14"/>
      <c r="L346" s="22"/>
      <c r="M346" s="47"/>
      <c r="N346" s="41"/>
      <c r="O346" s="22"/>
      <c r="P346" s="22"/>
      <c r="Q346" s="45"/>
      <c r="S346" s="50"/>
      <c r="T346" s="50"/>
      <c r="U346" s="50"/>
      <c r="V346" s="50"/>
    </row>
    <row r="347" spans="1:22" s="2" customFormat="1" hidden="1" outlineLevel="1" x14ac:dyDescent="0.35">
      <c r="A347" s="8"/>
      <c r="B347" s="9"/>
      <c r="C347" s="9"/>
      <c r="D347" s="9"/>
      <c r="E347" s="9"/>
      <c r="F347" s="10"/>
      <c r="G347" s="10"/>
      <c r="H347" s="10"/>
      <c r="I347" s="10"/>
      <c r="J347" s="14"/>
      <c r="K347" s="14"/>
      <c r="L347" s="22"/>
      <c r="M347" s="47"/>
      <c r="N347" s="41"/>
      <c r="O347" s="22"/>
      <c r="P347" s="22"/>
      <c r="Q347" s="45"/>
      <c r="S347" s="50"/>
      <c r="T347" s="50"/>
      <c r="U347" s="50"/>
      <c r="V347" s="50"/>
    </row>
    <row r="348" spans="1:22" s="2" customFormat="1" hidden="1" outlineLevel="1" x14ac:dyDescent="0.35">
      <c r="A348" s="8"/>
      <c r="B348" s="9"/>
      <c r="C348" s="9"/>
      <c r="D348" s="9">
        <v>1.2</v>
      </c>
      <c r="E348" s="9">
        <v>1</v>
      </c>
      <c r="F348" s="10">
        <f>+C348*D348*E348</f>
        <v>0</v>
      </c>
      <c r="G348" s="10"/>
      <c r="H348" s="10"/>
      <c r="I348" s="10"/>
      <c r="J348" s="14"/>
      <c r="K348" s="14"/>
      <c r="L348" s="22"/>
      <c r="M348" s="47"/>
      <c r="N348" s="41"/>
      <c r="O348" s="22"/>
      <c r="P348" s="22"/>
      <c r="Q348" s="45"/>
      <c r="S348" s="50"/>
      <c r="T348" s="50"/>
      <c r="U348" s="50"/>
      <c r="V348" s="50"/>
    </row>
    <row r="349" spans="1:22" s="2" customFormat="1" hidden="1" outlineLevel="1" x14ac:dyDescent="0.35">
      <c r="A349" s="8"/>
      <c r="B349" s="9"/>
      <c r="C349" s="9"/>
      <c r="D349" s="9"/>
      <c r="E349" s="9"/>
      <c r="F349" s="10"/>
      <c r="G349" s="10"/>
      <c r="H349" s="10"/>
      <c r="I349" s="10"/>
      <c r="J349" s="14"/>
      <c r="K349" s="14"/>
      <c r="L349" s="22"/>
      <c r="M349" s="47"/>
      <c r="N349" s="41"/>
      <c r="O349" s="22"/>
      <c r="P349" s="22"/>
      <c r="Q349" s="45"/>
      <c r="S349" s="50"/>
      <c r="T349" s="50"/>
      <c r="U349" s="50"/>
      <c r="V349" s="50"/>
    </row>
    <row r="350" spans="1:22" s="2" customFormat="1" hidden="1" outlineLevel="1" x14ac:dyDescent="0.35">
      <c r="A350" s="8"/>
      <c r="B350" s="67"/>
      <c r="C350" s="9"/>
      <c r="D350" s="9">
        <v>1</v>
      </c>
      <c r="E350" s="9">
        <v>2</v>
      </c>
      <c r="F350" s="10">
        <f>+C350*D350*E350</f>
        <v>0</v>
      </c>
      <c r="G350" s="10"/>
      <c r="H350" s="10"/>
      <c r="I350" s="10"/>
      <c r="J350" s="14"/>
      <c r="K350" s="14"/>
      <c r="L350" s="22"/>
      <c r="M350" s="47"/>
      <c r="N350" s="41"/>
      <c r="O350" s="22"/>
      <c r="P350" s="22"/>
      <c r="Q350" s="45"/>
      <c r="S350" s="50"/>
      <c r="T350" s="50"/>
      <c r="U350" s="50"/>
      <c r="V350" s="50"/>
    </row>
    <row r="351" spans="1:22" s="2" customFormat="1" hidden="1" outlineLevel="1" x14ac:dyDescent="0.35">
      <c r="A351" s="8"/>
      <c r="B351" s="9"/>
      <c r="C351" s="9"/>
      <c r="D351" s="9"/>
      <c r="E351" s="9"/>
      <c r="F351" s="10">
        <f>+C351*D351*E351</f>
        <v>0</v>
      </c>
      <c r="G351" s="10"/>
      <c r="H351" s="10"/>
      <c r="I351" s="10"/>
      <c r="J351" s="14"/>
      <c r="K351" s="14"/>
      <c r="L351" s="22"/>
      <c r="M351" s="47"/>
      <c r="N351" s="41"/>
      <c r="O351" s="22"/>
      <c r="P351" s="22"/>
      <c r="Q351" s="45"/>
      <c r="S351" s="50"/>
      <c r="T351" s="50"/>
      <c r="U351" s="50"/>
      <c r="V351" s="50"/>
    </row>
    <row r="352" spans="1:22" s="2" customFormat="1" hidden="1" outlineLevel="1" x14ac:dyDescent="0.35">
      <c r="A352" s="8"/>
      <c r="B352" s="9"/>
      <c r="C352" s="9"/>
      <c r="D352" s="9">
        <v>0.65</v>
      </c>
      <c r="E352" s="9">
        <v>1</v>
      </c>
      <c r="F352" s="10">
        <f>+C352*D352*E352</f>
        <v>0</v>
      </c>
      <c r="G352" s="10"/>
      <c r="H352" s="10"/>
      <c r="I352" s="10"/>
      <c r="J352" s="14"/>
      <c r="K352" s="14"/>
      <c r="L352" s="22"/>
      <c r="M352" s="47"/>
      <c r="N352" s="41"/>
      <c r="O352" s="22"/>
      <c r="P352" s="22"/>
      <c r="Q352" s="45"/>
      <c r="S352" s="50"/>
      <c r="T352" s="50"/>
      <c r="U352" s="50"/>
      <c r="V352" s="50"/>
    </row>
    <row r="353" spans="1:22" s="2" customFormat="1" hidden="1" outlineLevel="1" x14ac:dyDescent="0.35">
      <c r="A353" s="8"/>
      <c r="B353" s="9"/>
      <c r="C353" s="9"/>
      <c r="D353" s="9"/>
      <c r="E353" s="9"/>
      <c r="F353" s="10"/>
      <c r="G353" s="10"/>
      <c r="H353" s="10"/>
      <c r="I353" s="10"/>
      <c r="J353" s="14"/>
      <c r="K353" s="14"/>
      <c r="L353" s="22"/>
      <c r="M353" s="47"/>
      <c r="N353" s="41"/>
      <c r="O353" s="22"/>
      <c r="P353" s="22"/>
      <c r="Q353" s="45"/>
      <c r="S353" s="50"/>
      <c r="T353" s="50"/>
      <c r="U353" s="50"/>
      <c r="V353" s="50"/>
    </row>
    <row r="354" spans="1:22" s="2" customFormat="1" hidden="1" outlineLevel="1" x14ac:dyDescent="0.35">
      <c r="A354" s="8"/>
      <c r="B354" s="9"/>
      <c r="C354" s="9"/>
      <c r="D354" s="9">
        <v>1</v>
      </c>
      <c r="E354" s="9">
        <v>1</v>
      </c>
      <c r="F354" s="10">
        <f>+C354*D354*E354</f>
        <v>0</v>
      </c>
      <c r="G354" s="10"/>
      <c r="H354" s="10"/>
      <c r="I354" s="10"/>
      <c r="J354" s="14"/>
      <c r="K354" s="14"/>
      <c r="L354" s="22"/>
      <c r="M354" s="47"/>
      <c r="N354" s="41"/>
      <c r="O354" s="22"/>
      <c r="P354" s="22"/>
      <c r="Q354" s="45"/>
      <c r="S354" s="50"/>
      <c r="T354" s="50"/>
      <c r="U354" s="50"/>
      <c r="V354" s="50"/>
    </row>
    <row r="355" spans="1:22" s="2" customFormat="1" hidden="1" outlineLevel="1" x14ac:dyDescent="0.35">
      <c r="A355" s="8"/>
      <c r="B355" s="9"/>
      <c r="C355" s="9"/>
      <c r="D355" s="9"/>
      <c r="E355" s="9"/>
      <c r="F355" s="10"/>
      <c r="G355" s="10"/>
      <c r="H355" s="10"/>
      <c r="I355" s="10"/>
      <c r="J355" s="14"/>
      <c r="K355" s="14"/>
      <c r="L355" s="22"/>
      <c r="M355" s="47"/>
      <c r="N355" s="41"/>
      <c r="O355" s="22"/>
      <c r="P355" s="22"/>
      <c r="Q355" s="45"/>
      <c r="S355" s="50"/>
      <c r="T355" s="50"/>
      <c r="U355" s="50"/>
      <c r="V355" s="50"/>
    </row>
    <row r="356" spans="1:22" s="2" customFormat="1" hidden="1" outlineLevel="1" x14ac:dyDescent="0.35">
      <c r="A356" s="8"/>
      <c r="B356" s="9"/>
      <c r="C356" s="9"/>
      <c r="D356" s="9"/>
      <c r="E356" s="9"/>
      <c r="F356" s="10">
        <f>SUM(F342:F355)</f>
        <v>419.95</v>
      </c>
      <c r="G356" s="10"/>
      <c r="H356" s="10"/>
      <c r="I356" s="10"/>
      <c r="J356" s="14"/>
      <c r="K356" s="14"/>
      <c r="L356" s="22"/>
      <c r="M356" s="47"/>
      <c r="N356" s="41"/>
      <c r="O356" s="22"/>
      <c r="P356" s="22"/>
      <c r="Q356" s="45"/>
      <c r="S356" s="50"/>
      <c r="T356" s="50"/>
      <c r="U356" s="50"/>
      <c r="V356" s="50"/>
    </row>
    <row r="357" spans="1:22" collapsed="1" x14ac:dyDescent="0.35">
      <c r="A357" s="6"/>
      <c r="B357" s="56"/>
      <c r="C357" s="56"/>
      <c r="D357" s="56"/>
      <c r="E357" s="56"/>
      <c r="F357" s="6"/>
      <c r="G357" s="6"/>
      <c r="H357" s="6"/>
      <c r="I357" s="6"/>
      <c r="J357" s="14"/>
      <c r="K357" s="14"/>
      <c r="L357" s="21"/>
      <c r="M357" s="46"/>
      <c r="N357" s="40"/>
      <c r="O357" s="21"/>
      <c r="P357" s="21"/>
      <c r="Q357" s="45"/>
      <c r="S357" s="3"/>
      <c r="T357" s="3"/>
      <c r="U357" s="3"/>
      <c r="V357" s="3"/>
    </row>
    <row r="358" spans="1:22" x14ac:dyDescent="0.35">
      <c r="A358" s="6"/>
      <c r="B358" s="56"/>
      <c r="C358" s="56"/>
      <c r="D358" s="56"/>
      <c r="E358" s="56"/>
      <c r="F358" s="6"/>
      <c r="G358" s="6"/>
      <c r="H358" s="6"/>
      <c r="I358" s="6"/>
      <c r="J358" s="14"/>
      <c r="K358" s="14"/>
      <c r="L358" s="21"/>
      <c r="M358" s="46"/>
      <c r="N358" s="40"/>
      <c r="O358" s="21"/>
      <c r="P358" s="21"/>
      <c r="Q358" s="45"/>
      <c r="S358" s="3"/>
      <c r="T358" s="3"/>
      <c r="U358" s="3"/>
      <c r="V358" s="3"/>
    </row>
    <row r="359" spans="1:22" x14ac:dyDescent="0.35">
      <c r="A359" s="6"/>
      <c r="B359" s="56"/>
      <c r="C359" s="56"/>
      <c r="D359" s="56"/>
      <c r="E359" s="56"/>
      <c r="F359" s="6"/>
      <c r="G359" s="6"/>
      <c r="H359" s="6"/>
      <c r="I359" s="6"/>
      <c r="J359" s="14"/>
      <c r="K359" s="14"/>
      <c r="L359" s="21"/>
      <c r="M359" s="46"/>
      <c r="N359" s="40"/>
      <c r="O359" s="21"/>
      <c r="P359" s="21"/>
      <c r="Q359" s="45"/>
      <c r="S359" s="3"/>
      <c r="T359" s="3"/>
      <c r="U359" s="3"/>
      <c r="V359" s="3"/>
    </row>
    <row r="360" spans="1:22" x14ac:dyDescent="0.35">
      <c r="A360" s="6"/>
      <c r="B360" s="68" t="s">
        <v>113</v>
      </c>
      <c r="C360" s="56"/>
      <c r="D360" s="56"/>
      <c r="E360" s="56"/>
      <c r="F360" s="6"/>
      <c r="G360" s="6"/>
      <c r="H360" s="6"/>
      <c r="I360" s="6"/>
      <c r="J360" s="14"/>
      <c r="K360" s="14"/>
      <c r="L360" s="21"/>
      <c r="M360" s="46"/>
      <c r="N360" s="40"/>
      <c r="O360" s="21"/>
      <c r="P360" s="21"/>
      <c r="Q360" s="45"/>
      <c r="S360" s="3"/>
      <c r="T360" s="3"/>
      <c r="U360" s="3"/>
      <c r="V360" s="3"/>
    </row>
    <row r="361" spans="1:22" s="78" customFormat="1" x14ac:dyDescent="0.35">
      <c r="A361" s="69">
        <f>+A359+1</f>
        <v>1</v>
      </c>
      <c r="B361" s="70" t="s">
        <v>114</v>
      </c>
      <c r="C361" s="71"/>
      <c r="D361" s="71"/>
      <c r="E361" s="71"/>
      <c r="F361" s="72">
        <v>312</v>
      </c>
      <c r="G361" s="69" t="s">
        <v>10</v>
      </c>
      <c r="H361" s="69"/>
      <c r="I361" s="69" t="str">
        <f>+$Q$2</f>
        <v>??</v>
      </c>
      <c r="J361" s="73" t="e">
        <f>+F361*H361*I361</f>
        <v>#VALUE!</v>
      </c>
      <c r="K361" s="73"/>
      <c r="L361" s="74"/>
      <c r="M361" s="75">
        <v>0.1</v>
      </c>
      <c r="N361" s="76">
        <f>+L361*M361</f>
        <v>0</v>
      </c>
      <c r="O361" s="74"/>
      <c r="P361" s="74"/>
      <c r="Q361" s="77">
        <f>+(F361*L361)+(F361*N361)+O361+P361</f>
        <v>0</v>
      </c>
      <c r="S361" s="79" t="e">
        <f>+T361/F361</f>
        <v>#VALUE!</v>
      </c>
      <c r="T361" s="80" t="e">
        <f>+J361+K361+Q361</f>
        <v>#VALUE!</v>
      </c>
      <c r="U361" s="80"/>
      <c r="V361" s="79">
        <f>+F361*H361</f>
        <v>0</v>
      </c>
    </row>
    <row r="362" spans="1:22" s="2" customFormat="1" hidden="1" outlineLevel="1" x14ac:dyDescent="0.35">
      <c r="A362" s="8"/>
      <c r="B362" s="67" t="s">
        <v>91</v>
      </c>
      <c r="C362" s="9">
        <v>14.6</v>
      </c>
      <c r="D362" s="9">
        <v>1.65</v>
      </c>
      <c r="E362" s="9">
        <v>3</v>
      </c>
      <c r="F362" s="10">
        <f t="shared" ref="F362:F367" si="14">+C362*D362*E362</f>
        <v>72.27</v>
      </c>
      <c r="G362" s="10"/>
      <c r="H362" s="10"/>
      <c r="I362" s="10"/>
      <c r="J362" s="14"/>
      <c r="K362" s="14"/>
      <c r="L362" s="22"/>
      <c r="M362" s="47"/>
      <c r="N362" s="41"/>
      <c r="O362" s="22"/>
      <c r="P362" s="22"/>
      <c r="Q362" s="45"/>
      <c r="S362" s="50"/>
      <c r="T362" s="50"/>
      <c r="U362" s="50"/>
      <c r="V362" s="50"/>
    </row>
    <row r="363" spans="1:22" s="2" customFormat="1" hidden="1" outlineLevel="1" x14ac:dyDescent="0.35">
      <c r="A363" s="8"/>
      <c r="B363" s="9" t="s">
        <v>37</v>
      </c>
      <c r="C363" s="9">
        <v>21</v>
      </c>
      <c r="D363" s="9">
        <v>1.65</v>
      </c>
      <c r="E363" s="9">
        <v>3</v>
      </c>
      <c r="F363" s="10">
        <f t="shared" si="14"/>
        <v>103.94999999999999</v>
      </c>
      <c r="G363" s="10"/>
      <c r="H363" s="10"/>
      <c r="I363" s="10"/>
      <c r="J363" s="14"/>
      <c r="K363" s="14"/>
      <c r="L363" s="22"/>
      <c r="M363" s="47"/>
      <c r="N363" s="41"/>
      <c r="O363" s="22"/>
      <c r="P363" s="22"/>
      <c r="Q363" s="45"/>
      <c r="S363" s="50"/>
      <c r="T363" s="50"/>
      <c r="U363" s="50"/>
      <c r="V363" s="50"/>
    </row>
    <row r="364" spans="1:22" s="2" customFormat="1" hidden="1" outlineLevel="1" x14ac:dyDescent="0.35">
      <c r="A364" s="8"/>
      <c r="B364" s="9" t="s">
        <v>107</v>
      </c>
      <c r="C364" s="9">
        <v>21</v>
      </c>
      <c r="D364" s="9">
        <v>0.45</v>
      </c>
      <c r="E364" s="9">
        <v>1</v>
      </c>
      <c r="F364" s="10">
        <f t="shared" si="14"/>
        <v>9.4500000000000011</v>
      </c>
      <c r="G364" s="10"/>
      <c r="H364" s="10"/>
      <c r="I364" s="10"/>
      <c r="J364" s="14"/>
      <c r="K364" s="14"/>
      <c r="L364" s="22"/>
      <c r="M364" s="47"/>
      <c r="N364" s="41"/>
      <c r="O364" s="22"/>
      <c r="P364" s="22"/>
      <c r="Q364" s="45"/>
      <c r="S364" s="50"/>
      <c r="T364" s="50"/>
      <c r="U364" s="50"/>
      <c r="V364" s="50"/>
    </row>
    <row r="365" spans="1:22" s="2" customFormat="1" hidden="1" outlineLevel="1" x14ac:dyDescent="0.35">
      <c r="A365" s="8"/>
      <c r="B365" s="9"/>
      <c r="C365" s="9">
        <v>21</v>
      </c>
      <c r="D365" s="9">
        <v>0.65</v>
      </c>
      <c r="E365" s="9">
        <v>2</v>
      </c>
      <c r="F365" s="10">
        <f t="shared" si="14"/>
        <v>27.3</v>
      </c>
      <c r="G365" s="10"/>
      <c r="H365" s="10"/>
      <c r="I365" s="10"/>
      <c r="J365" s="14"/>
      <c r="K365" s="14"/>
      <c r="L365" s="22"/>
      <c r="M365" s="47"/>
      <c r="N365" s="41"/>
      <c r="O365" s="22"/>
      <c r="P365" s="22"/>
      <c r="Q365" s="45"/>
      <c r="S365" s="50"/>
      <c r="T365" s="50"/>
      <c r="U365" s="50"/>
      <c r="V365" s="50"/>
    </row>
    <row r="366" spans="1:22" s="2" customFormat="1" hidden="1" outlineLevel="1" x14ac:dyDescent="0.35">
      <c r="A366" s="8"/>
      <c r="B366" s="9"/>
      <c r="C366" s="9"/>
      <c r="D366" s="9"/>
      <c r="E366" s="9">
        <v>1</v>
      </c>
      <c r="F366" s="10">
        <f t="shared" si="14"/>
        <v>0</v>
      </c>
      <c r="G366" s="10"/>
      <c r="H366" s="10"/>
      <c r="I366" s="10"/>
      <c r="J366" s="14"/>
      <c r="K366" s="14"/>
      <c r="L366" s="22"/>
      <c r="M366" s="47"/>
      <c r="N366" s="41"/>
      <c r="O366" s="22"/>
      <c r="P366" s="22"/>
      <c r="Q366" s="45"/>
      <c r="S366" s="50"/>
      <c r="T366" s="50"/>
      <c r="U366" s="50"/>
      <c r="V366" s="50"/>
    </row>
    <row r="367" spans="1:22" s="2" customFormat="1" hidden="1" outlineLevel="1" x14ac:dyDescent="0.35">
      <c r="A367" s="8"/>
      <c r="B367" s="9"/>
      <c r="C367" s="9"/>
      <c r="D367" s="9">
        <v>1</v>
      </c>
      <c r="E367" s="9">
        <v>1</v>
      </c>
      <c r="F367" s="10">
        <f t="shared" si="14"/>
        <v>0</v>
      </c>
      <c r="G367" s="10"/>
      <c r="H367" s="10"/>
      <c r="I367" s="10"/>
      <c r="J367" s="14"/>
      <c r="K367" s="14"/>
      <c r="L367" s="22"/>
      <c r="M367" s="47"/>
      <c r="N367" s="41"/>
      <c r="O367" s="22"/>
      <c r="P367" s="22"/>
      <c r="Q367" s="45"/>
      <c r="S367" s="50"/>
      <c r="T367" s="50"/>
      <c r="U367" s="50"/>
      <c r="V367" s="50"/>
    </row>
    <row r="368" spans="1:22" s="2" customFormat="1" hidden="1" outlineLevel="1" x14ac:dyDescent="0.35">
      <c r="A368" s="8"/>
      <c r="B368" s="9"/>
      <c r="C368" s="9"/>
      <c r="D368" s="9"/>
      <c r="E368" s="9"/>
      <c r="F368" s="10"/>
      <c r="G368" s="10"/>
      <c r="H368" s="10"/>
      <c r="I368" s="10"/>
      <c r="J368" s="14"/>
      <c r="K368" s="14"/>
      <c r="L368" s="22"/>
      <c r="M368" s="47"/>
      <c r="N368" s="41"/>
      <c r="O368" s="22"/>
      <c r="P368" s="22"/>
      <c r="Q368" s="45"/>
      <c r="S368" s="50"/>
      <c r="T368" s="50"/>
      <c r="U368" s="50"/>
      <c r="V368" s="50"/>
    </row>
    <row r="369" spans="1:22" s="2" customFormat="1" hidden="1" outlineLevel="1" x14ac:dyDescent="0.35">
      <c r="A369" s="8"/>
      <c r="B369" s="9"/>
      <c r="C369" s="9"/>
      <c r="D369" s="9"/>
      <c r="E369" s="9"/>
      <c r="F369" s="10">
        <f>SUM(F362:F368)</f>
        <v>212.96999999999997</v>
      </c>
      <c r="G369" s="10"/>
      <c r="H369" s="10"/>
      <c r="I369" s="10"/>
      <c r="J369" s="14"/>
      <c r="K369" s="14"/>
      <c r="L369" s="22"/>
      <c r="M369" s="47"/>
      <c r="N369" s="41"/>
      <c r="O369" s="22"/>
      <c r="P369" s="22"/>
      <c r="Q369" s="45"/>
      <c r="S369" s="50"/>
      <c r="T369" s="50"/>
      <c r="U369" s="50"/>
      <c r="V369" s="50"/>
    </row>
    <row r="370" spans="1:22" collapsed="1" x14ac:dyDescent="0.35">
      <c r="A370" s="6"/>
      <c r="B370" s="56"/>
      <c r="C370" s="56"/>
      <c r="D370" s="56"/>
      <c r="E370" s="56"/>
      <c r="F370" s="6"/>
      <c r="G370" s="6"/>
      <c r="H370" s="6"/>
      <c r="I370" s="6"/>
      <c r="J370" s="14"/>
      <c r="K370" s="14"/>
      <c r="L370" s="21"/>
      <c r="M370" s="46"/>
      <c r="N370" s="40"/>
      <c r="O370" s="21"/>
      <c r="P370" s="21"/>
      <c r="Q370" s="45"/>
      <c r="S370" s="3"/>
      <c r="T370" s="3"/>
      <c r="U370" s="3"/>
      <c r="V370" s="3"/>
    </row>
    <row r="371" spans="1:22" x14ac:dyDescent="0.35">
      <c r="A371" s="6"/>
      <c r="B371" s="56"/>
      <c r="C371" s="56"/>
      <c r="D371" s="56"/>
      <c r="E371" s="56"/>
      <c r="F371" s="6"/>
      <c r="G371" s="6"/>
      <c r="H371" s="6"/>
      <c r="I371" s="6"/>
      <c r="J371" s="14"/>
      <c r="K371" s="14"/>
      <c r="L371" s="21"/>
      <c r="M371" s="46"/>
      <c r="N371" s="40"/>
      <c r="O371" s="21"/>
      <c r="P371" s="21"/>
      <c r="Q371" s="45"/>
      <c r="S371" s="3"/>
      <c r="T371" s="3"/>
      <c r="U371" s="3"/>
      <c r="V371" s="3"/>
    </row>
    <row r="372" spans="1:22" x14ac:dyDescent="0.35">
      <c r="A372" s="6"/>
      <c r="B372" s="57" t="s">
        <v>181</v>
      </c>
      <c r="C372" s="56"/>
      <c r="D372" s="56"/>
      <c r="E372" s="56"/>
      <c r="F372" s="6"/>
      <c r="G372" s="6"/>
      <c r="H372" s="6"/>
      <c r="I372" s="6"/>
      <c r="J372" s="14"/>
      <c r="K372" s="14"/>
      <c r="L372" s="21"/>
      <c r="M372" s="46"/>
      <c r="N372" s="40"/>
      <c r="O372" s="21"/>
      <c r="P372" s="21"/>
      <c r="Q372" s="45"/>
      <c r="S372" s="3"/>
      <c r="T372" s="3"/>
      <c r="U372" s="3"/>
      <c r="V372" s="3"/>
    </row>
    <row r="373" spans="1:22" x14ac:dyDescent="0.35">
      <c r="A373" s="6"/>
      <c r="B373" s="56"/>
      <c r="C373" s="56"/>
      <c r="D373" s="56"/>
      <c r="E373" s="56"/>
      <c r="F373" s="6"/>
      <c r="G373" s="6"/>
      <c r="H373" s="6"/>
      <c r="I373" s="6"/>
      <c r="J373" s="14"/>
      <c r="K373" s="14"/>
      <c r="L373" s="21"/>
      <c r="M373" s="46"/>
      <c r="N373" s="40"/>
      <c r="O373" s="21"/>
      <c r="P373" s="21"/>
      <c r="Q373" s="45"/>
      <c r="S373" s="3"/>
      <c r="T373" s="3"/>
      <c r="U373" s="3"/>
      <c r="V373" s="3"/>
    </row>
    <row r="374" spans="1:22" s="15" customFormat="1" x14ac:dyDescent="0.35">
      <c r="A374" s="12"/>
      <c r="B374" s="13"/>
      <c r="C374" s="13"/>
      <c r="D374" s="13"/>
      <c r="E374" s="13"/>
      <c r="F374" s="12"/>
      <c r="G374" s="12"/>
      <c r="H374" s="12"/>
      <c r="I374" s="12"/>
      <c r="J374" s="14" t="e">
        <f>SUM(J7:J373)</f>
        <v>#VALUE!</v>
      </c>
      <c r="K374" s="14">
        <f>SUM(K7:K373)</f>
        <v>0</v>
      </c>
      <c r="L374" s="23"/>
      <c r="M374" s="23"/>
      <c r="N374" s="23"/>
      <c r="O374" s="23">
        <f>SUM(O9:O373)</f>
        <v>59.800000000000004</v>
      </c>
      <c r="P374" s="23">
        <f>SUM(P9:P373)</f>
        <v>0</v>
      </c>
      <c r="Q374" s="23">
        <f>SUM(Q7:Q373)</f>
        <v>59.800000000000004</v>
      </c>
      <c r="S374" s="51"/>
      <c r="T374" s="54" t="e">
        <f>SUM(T7:T373)</f>
        <v>#VALUE!</v>
      </c>
      <c r="U374" s="54"/>
      <c r="V374" s="54">
        <f t="shared" ref="V374" si="15">SUM(V7:V373)</f>
        <v>0</v>
      </c>
    </row>
    <row r="375" spans="1:22" x14ac:dyDescent="0.35">
      <c r="A375" s="6"/>
      <c r="B375" s="7"/>
      <c r="C375" s="7"/>
      <c r="D375" s="7"/>
      <c r="E375" s="7"/>
      <c r="F375" s="6"/>
      <c r="G375" s="6"/>
      <c r="H375" s="6"/>
      <c r="I375" s="6"/>
      <c r="J375" s="14"/>
      <c r="K375" s="43"/>
      <c r="L375" s="26"/>
      <c r="M375" s="26"/>
      <c r="N375" s="26"/>
      <c r="O375" s="26"/>
      <c r="P375" s="26"/>
      <c r="Q375" s="23"/>
      <c r="S375" s="3"/>
      <c r="T375" s="3"/>
      <c r="U375" s="3"/>
      <c r="V375" s="3"/>
    </row>
    <row r="376" spans="1:22" s="19" customFormat="1" x14ac:dyDescent="0.35">
      <c r="A376" s="16"/>
      <c r="B376" s="17" t="s">
        <v>14</v>
      </c>
      <c r="C376" s="17"/>
      <c r="D376" s="17"/>
      <c r="E376" s="17"/>
      <c r="F376" s="20"/>
      <c r="G376" s="16"/>
      <c r="H376" s="16"/>
      <c r="I376" s="16"/>
      <c r="J376" s="18"/>
      <c r="K376" s="18"/>
      <c r="L376" s="18"/>
      <c r="M376" s="18"/>
      <c r="N376" s="18"/>
      <c r="O376" s="18"/>
      <c r="P376" s="18"/>
      <c r="Q376" s="24" t="e">
        <f>+J374+K374+Q374</f>
        <v>#VALUE!</v>
      </c>
      <c r="S376" s="52"/>
      <c r="T376" s="52"/>
      <c r="U376" s="52"/>
      <c r="V376" s="52"/>
    </row>
    <row r="377" spans="1:22" x14ac:dyDescent="0.35">
      <c r="A377" s="1"/>
      <c r="F377" s="1"/>
      <c r="G377" s="1"/>
      <c r="H377" s="1"/>
      <c r="I377" s="1"/>
      <c r="J377" s="4"/>
      <c r="K377" s="4"/>
      <c r="L377" s="28"/>
      <c r="M377" s="28"/>
      <c r="N377" s="28"/>
      <c r="O377" s="28"/>
      <c r="P377" s="28"/>
      <c r="Q377" s="25"/>
      <c r="S377" s="3"/>
      <c r="T377" s="3"/>
      <c r="U377" s="3"/>
      <c r="V377" s="3"/>
    </row>
    <row r="468" spans="12:12" x14ac:dyDescent="0.35">
      <c r="L468" s="21">
        <f>49.23/4.8*2</f>
        <v>20.512499999999999</v>
      </c>
    </row>
    <row r="469" spans="12:12" x14ac:dyDescent="0.35">
      <c r="L469" s="22"/>
    </row>
    <row r="470" spans="12:12" x14ac:dyDescent="0.35">
      <c r="L470" s="22"/>
    </row>
    <row r="471" spans="12:12" x14ac:dyDescent="0.35">
      <c r="L471" s="22"/>
    </row>
    <row r="472" spans="12:12" x14ac:dyDescent="0.35">
      <c r="L472" s="22"/>
    </row>
    <row r="473" spans="12:12" x14ac:dyDescent="0.35">
      <c r="L473" s="22"/>
    </row>
    <row r="474" spans="12:12" x14ac:dyDescent="0.35">
      <c r="L474" s="22"/>
    </row>
    <row r="475" spans="12:12" x14ac:dyDescent="0.35">
      <c r="L475" s="22"/>
    </row>
    <row r="476" spans="12:12" x14ac:dyDescent="0.35">
      <c r="L476" s="22"/>
    </row>
    <row r="477" spans="12:12" x14ac:dyDescent="0.35">
      <c r="L477" s="21"/>
    </row>
    <row r="478" spans="12:12" x14ac:dyDescent="0.35">
      <c r="L478" s="21">
        <f>19.87/6</f>
        <v>3.311666666666667</v>
      </c>
    </row>
    <row r="479" spans="12:12" x14ac:dyDescent="0.35">
      <c r="L479" s="22"/>
    </row>
    <row r="480" spans="12:12" x14ac:dyDescent="0.35">
      <c r="L480" s="22"/>
    </row>
    <row r="481" spans="12:12" x14ac:dyDescent="0.35">
      <c r="L481" s="22"/>
    </row>
    <row r="482" spans="12:12" x14ac:dyDescent="0.35">
      <c r="L482" s="22"/>
    </row>
    <row r="483" spans="12:12" x14ac:dyDescent="0.35">
      <c r="L483" s="22"/>
    </row>
    <row r="484" spans="12:12" x14ac:dyDescent="0.35">
      <c r="L484" s="22"/>
    </row>
    <row r="485" spans="12:12" x14ac:dyDescent="0.35">
      <c r="L485" s="22"/>
    </row>
    <row r="486" spans="12:12" x14ac:dyDescent="0.35">
      <c r="L486" s="22"/>
    </row>
    <row r="487" spans="12:12" x14ac:dyDescent="0.35">
      <c r="L487" s="22"/>
    </row>
    <row r="488" spans="12:12" x14ac:dyDescent="0.35">
      <c r="L488" s="22"/>
    </row>
    <row r="489" spans="12:12" x14ac:dyDescent="0.35">
      <c r="L489" s="22"/>
    </row>
    <row r="490" spans="12:12" x14ac:dyDescent="0.35">
      <c r="L490" s="22"/>
    </row>
    <row r="491" spans="12:12" x14ac:dyDescent="0.35">
      <c r="L491" s="22"/>
    </row>
    <row r="492" spans="12:12" x14ac:dyDescent="0.35">
      <c r="L492" s="22"/>
    </row>
    <row r="493" spans="12:12" x14ac:dyDescent="0.35">
      <c r="L493" s="22"/>
    </row>
    <row r="494" spans="12:12" x14ac:dyDescent="0.35">
      <c r="L494" s="22"/>
    </row>
    <row r="495" spans="12:12" x14ac:dyDescent="0.35">
      <c r="L495" s="22"/>
    </row>
    <row r="496" spans="12:12" x14ac:dyDescent="0.35">
      <c r="L496" s="22"/>
    </row>
    <row r="497" spans="12:12" x14ac:dyDescent="0.35">
      <c r="L497" s="22"/>
    </row>
    <row r="498" spans="12:12" x14ac:dyDescent="0.35">
      <c r="L498" s="21"/>
    </row>
    <row r="499" spans="12:12" x14ac:dyDescent="0.35">
      <c r="L499" s="21">
        <f>15.66/4.8</f>
        <v>3.2625000000000002</v>
      </c>
    </row>
    <row r="500" spans="12:12" x14ac:dyDescent="0.35">
      <c r="L500" s="21"/>
    </row>
    <row r="501" spans="12:12" x14ac:dyDescent="0.35">
      <c r="L501" s="21">
        <f>15.66/4.8</f>
        <v>3.2625000000000002</v>
      </c>
    </row>
    <row r="502" spans="12:12" x14ac:dyDescent="0.35">
      <c r="L502" s="21"/>
    </row>
    <row r="503" spans="12:12" x14ac:dyDescent="0.35">
      <c r="L503" s="21">
        <f>15.66/4.8</f>
        <v>3.2625000000000002</v>
      </c>
    </row>
    <row r="504" spans="12:12" x14ac:dyDescent="0.35">
      <c r="L504" s="22"/>
    </row>
    <row r="505" spans="12:12" x14ac:dyDescent="0.35">
      <c r="L505" s="22"/>
    </row>
    <row r="506" spans="12:12" x14ac:dyDescent="0.35">
      <c r="L506" s="22"/>
    </row>
    <row r="507" spans="12:12" x14ac:dyDescent="0.35">
      <c r="L507" s="22"/>
    </row>
    <row r="508" spans="12:12" x14ac:dyDescent="0.35">
      <c r="L508" s="22"/>
    </row>
    <row r="509" spans="12:12" x14ac:dyDescent="0.35">
      <c r="L509" s="22"/>
    </row>
    <row r="510" spans="12:12" x14ac:dyDescent="0.35">
      <c r="L510" s="22"/>
    </row>
    <row r="511" spans="12:12" x14ac:dyDescent="0.35">
      <c r="L511" s="22"/>
    </row>
    <row r="512" spans="12:12" x14ac:dyDescent="0.35">
      <c r="L512" s="22"/>
    </row>
    <row r="513" spans="12:12" x14ac:dyDescent="0.35">
      <c r="L513" s="22"/>
    </row>
    <row r="514" spans="12:12" x14ac:dyDescent="0.35">
      <c r="L514" s="22"/>
    </row>
    <row r="515" spans="12:12" x14ac:dyDescent="0.35">
      <c r="L515" s="22"/>
    </row>
    <row r="516" spans="12:12" x14ac:dyDescent="0.35">
      <c r="L516" s="22"/>
    </row>
    <row r="517" spans="12:12" x14ac:dyDescent="0.35">
      <c r="L517" s="22"/>
    </row>
    <row r="518" spans="12:12" x14ac:dyDescent="0.35">
      <c r="L518" s="22"/>
    </row>
    <row r="519" spans="12:12" x14ac:dyDescent="0.35">
      <c r="L519" s="22"/>
    </row>
    <row r="520" spans="12:12" x14ac:dyDescent="0.35">
      <c r="L520" s="22"/>
    </row>
    <row r="521" spans="12:12" x14ac:dyDescent="0.35">
      <c r="L521" s="22"/>
    </row>
    <row r="522" spans="12:12" x14ac:dyDescent="0.35">
      <c r="L522" s="22"/>
    </row>
    <row r="523" spans="12:12" x14ac:dyDescent="0.35">
      <c r="L523" s="21"/>
    </row>
    <row r="524" spans="12:12" x14ac:dyDescent="0.35">
      <c r="L524" s="21">
        <f>29.76/6</f>
        <v>4.96</v>
      </c>
    </row>
    <row r="525" spans="12:12" x14ac:dyDescent="0.35">
      <c r="L525" s="22"/>
    </row>
    <row r="526" spans="12:12" x14ac:dyDescent="0.35">
      <c r="L526" s="22"/>
    </row>
    <row r="527" spans="12:12" x14ac:dyDescent="0.35">
      <c r="L527" s="22"/>
    </row>
    <row r="528" spans="12:12" x14ac:dyDescent="0.35">
      <c r="L528" s="22"/>
    </row>
    <row r="529" spans="12:12" x14ac:dyDescent="0.35">
      <c r="L529" s="22"/>
    </row>
    <row r="530" spans="12:12" x14ac:dyDescent="0.35">
      <c r="L530" s="22"/>
    </row>
    <row r="531" spans="12:12" x14ac:dyDescent="0.35">
      <c r="L531" s="22"/>
    </row>
    <row r="532" spans="12:12" x14ac:dyDescent="0.35">
      <c r="L532" s="22"/>
    </row>
    <row r="533" spans="12:12" x14ac:dyDescent="0.35">
      <c r="L533" s="22"/>
    </row>
    <row r="534" spans="12:12" x14ac:dyDescent="0.35">
      <c r="L534" s="22"/>
    </row>
    <row r="535" spans="12:12" x14ac:dyDescent="0.35">
      <c r="L535" s="21"/>
    </row>
    <row r="536" spans="12:12" x14ac:dyDescent="0.35">
      <c r="L536" s="21">
        <f>15.66/4.8</f>
        <v>3.2625000000000002</v>
      </c>
    </row>
    <row r="537" spans="12:12" x14ac:dyDescent="0.35">
      <c r="L537" s="22"/>
    </row>
    <row r="538" spans="12:12" x14ac:dyDescent="0.35">
      <c r="L538" s="22"/>
    </row>
    <row r="539" spans="12:12" x14ac:dyDescent="0.35">
      <c r="L539" s="22"/>
    </row>
    <row r="540" spans="12:12" x14ac:dyDescent="0.35">
      <c r="L540" s="22"/>
    </row>
    <row r="541" spans="12:12" x14ac:dyDescent="0.35">
      <c r="L541" s="22"/>
    </row>
    <row r="542" spans="12:12" x14ac:dyDescent="0.35">
      <c r="L542" s="22"/>
    </row>
    <row r="543" spans="12:12" x14ac:dyDescent="0.35">
      <c r="L543" s="22"/>
    </row>
    <row r="544" spans="12:12" x14ac:dyDescent="0.35">
      <c r="L544" s="22"/>
    </row>
    <row r="545" spans="12:12" x14ac:dyDescent="0.35">
      <c r="L545" s="22"/>
    </row>
    <row r="546" spans="12:12" x14ac:dyDescent="0.35">
      <c r="L546" s="21"/>
    </row>
    <row r="547" spans="12:12" x14ac:dyDescent="0.35">
      <c r="L547" s="21">
        <f>29.76/6</f>
        <v>4.96</v>
      </c>
    </row>
    <row r="548" spans="12:12" x14ac:dyDescent="0.35">
      <c r="L548" s="22"/>
    </row>
    <row r="549" spans="12:12" x14ac:dyDescent="0.35">
      <c r="L549" s="22"/>
    </row>
    <row r="550" spans="12:12" x14ac:dyDescent="0.35">
      <c r="L550" s="22"/>
    </row>
    <row r="551" spans="12:12" x14ac:dyDescent="0.35">
      <c r="L551" s="22"/>
    </row>
    <row r="552" spans="12:12" x14ac:dyDescent="0.35">
      <c r="L552" s="22"/>
    </row>
    <row r="553" spans="12:12" x14ac:dyDescent="0.35">
      <c r="L553" s="22"/>
    </row>
    <row r="554" spans="12:12" x14ac:dyDescent="0.35">
      <c r="L554" s="22"/>
    </row>
    <row r="555" spans="12:12" x14ac:dyDescent="0.35">
      <c r="L555" s="22"/>
    </row>
    <row r="556" spans="12:12" x14ac:dyDescent="0.35">
      <c r="L556" s="22"/>
    </row>
    <row r="557" spans="12:12" x14ac:dyDescent="0.35">
      <c r="L557" s="22"/>
    </row>
    <row r="558" spans="12:12" x14ac:dyDescent="0.35">
      <c r="L558" s="22"/>
    </row>
    <row r="559" spans="12:12" x14ac:dyDescent="0.35">
      <c r="L559" s="21"/>
    </row>
    <row r="560" spans="12:12" x14ac:dyDescent="0.35">
      <c r="L560" s="21">
        <f>15.66/4.8</f>
        <v>3.2625000000000002</v>
      </c>
    </row>
    <row r="561" spans="12:12" x14ac:dyDescent="0.35">
      <c r="L561" s="22"/>
    </row>
    <row r="562" spans="12:12" x14ac:dyDescent="0.35">
      <c r="L562" s="22"/>
    </row>
    <row r="563" spans="12:12" x14ac:dyDescent="0.35">
      <c r="L563" s="22"/>
    </row>
    <row r="564" spans="12:12" x14ac:dyDescent="0.35">
      <c r="L564" s="22"/>
    </row>
    <row r="565" spans="12:12" x14ac:dyDescent="0.35">
      <c r="L565" s="22"/>
    </row>
    <row r="566" spans="12:12" x14ac:dyDescent="0.35">
      <c r="L566" s="22"/>
    </row>
    <row r="567" spans="12:12" x14ac:dyDescent="0.35">
      <c r="L567" s="22"/>
    </row>
    <row r="568" spans="12:12" x14ac:dyDescent="0.35">
      <c r="L568" s="22"/>
    </row>
    <row r="569" spans="12:12" x14ac:dyDescent="0.35">
      <c r="L569" s="22"/>
    </row>
    <row r="570" spans="12:12" x14ac:dyDescent="0.35">
      <c r="L570" s="22"/>
    </row>
    <row r="571" spans="12:12" x14ac:dyDescent="0.35">
      <c r="L571" s="22"/>
    </row>
    <row r="572" spans="12:12" x14ac:dyDescent="0.35">
      <c r="L572" s="22"/>
    </row>
    <row r="573" spans="12:12" x14ac:dyDescent="0.35">
      <c r="L573" s="22"/>
    </row>
    <row r="574" spans="12:12" x14ac:dyDescent="0.35">
      <c r="L574" s="22"/>
    </row>
    <row r="575" spans="12:12" x14ac:dyDescent="0.35">
      <c r="L575" s="22"/>
    </row>
    <row r="576" spans="12:12" x14ac:dyDescent="0.35">
      <c r="L576" s="22"/>
    </row>
    <row r="577" spans="12:12" x14ac:dyDescent="0.35">
      <c r="L577" s="22"/>
    </row>
    <row r="578" spans="12:12" x14ac:dyDescent="0.35">
      <c r="L578" s="22"/>
    </row>
    <row r="579" spans="12:12" x14ac:dyDescent="0.35">
      <c r="L579" s="22"/>
    </row>
    <row r="580" spans="12:12" x14ac:dyDescent="0.35">
      <c r="L580" s="22"/>
    </row>
    <row r="581" spans="12:12" x14ac:dyDescent="0.35">
      <c r="L581" s="21"/>
    </row>
    <row r="582" spans="12:12" x14ac:dyDescent="0.35">
      <c r="L582" s="21">
        <v>1.46</v>
      </c>
    </row>
    <row r="583" spans="12:12" x14ac:dyDescent="0.35">
      <c r="L583" s="22"/>
    </row>
    <row r="584" spans="12:12" x14ac:dyDescent="0.35">
      <c r="L584" s="22"/>
    </row>
    <row r="585" spans="12:12" x14ac:dyDescent="0.35">
      <c r="L585" s="22"/>
    </row>
    <row r="586" spans="12:12" x14ac:dyDescent="0.35">
      <c r="L586" s="22"/>
    </row>
    <row r="587" spans="12:12" x14ac:dyDescent="0.35">
      <c r="L587" s="22"/>
    </row>
    <row r="588" spans="12:12" x14ac:dyDescent="0.35">
      <c r="L588" s="22"/>
    </row>
    <row r="589" spans="12:12" x14ac:dyDescent="0.35">
      <c r="L589" s="22"/>
    </row>
    <row r="590" spans="12:12" x14ac:dyDescent="0.35">
      <c r="L590" s="22"/>
    </row>
    <row r="591" spans="12:12" x14ac:dyDescent="0.35">
      <c r="L591" s="22"/>
    </row>
    <row r="592" spans="12:12" x14ac:dyDescent="0.35">
      <c r="L592" s="22"/>
    </row>
    <row r="593" spans="12:12" x14ac:dyDescent="0.35">
      <c r="L593" s="22"/>
    </row>
    <row r="594" spans="12:12" x14ac:dyDescent="0.35">
      <c r="L594" s="22"/>
    </row>
    <row r="595" spans="12:12" x14ac:dyDescent="0.35">
      <c r="L595" s="22"/>
    </row>
    <row r="596" spans="12:12" x14ac:dyDescent="0.35">
      <c r="L596" s="22"/>
    </row>
    <row r="597" spans="12:12" x14ac:dyDescent="0.35">
      <c r="L597" s="22"/>
    </row>
    <row r="598" spans="12:12" x14ac:dyDescent="0.35">
      <c r="L598" s="22"/>
    </row>
    <row r="599" spans="12:12" x14ac:dyDescent="0.35">
      <c r="L599" s="22"/>
    </row>
    <row r="600" spans="12:12" x14ac:dyDescent="0.35">
      <c r="L600" s="22"/>
    </row>
    <row r="601" spans="12:12" x14ac:dyDescent="0.35">
      <c r="L601" s="22"/>
    </row>
    <row r="602" spans="12:12" x14ac:dyDescent="0.35">
      <c r="L602" s="22"/>
    </row>
    <row r="603" spans="12:12" x14ac:dyDescent="0.35">
      <c r="L603" s="21"/>
    </row>
    <row r="604" spans="12:12" x14ac:dyDescent="0.35">
      <c r="L604" s="21">
        <v>0.89</v>
      </c>
    </row>
    <row r="605" spans="12:12" x14ac:dyDescent="0.35">
      <c r="L605" s="22"/>
    </row>
    <row r="606" spans="12:12" x14ac:dyDescent="0.35">
      <c r="L606" s="22"/>
    </row>
    <row r="607" spans="12:12" x14ac:dyDescent="0.35">
      <c r="L607" s="22"/>
    </row>
    <row r="608" spans="12:12" x14ac:dyDescent="0.35">
      <c r="L608" s="22"/>
    </row>
    <row r="609" spans="12:12" x14ac:dyDescent="0.35">
      <c r="L609" s="22"/>
    </row>
    <row r="610" spans="12:12" x14ac:dyDescent="0.35">
      <c r="L610" s="22"/>
    </row>
    <row r="611" spans="12:12" x14ac:dyDescent="0.35">
      <c r="L611" s="22"/>
    </row>
    <row r="612" spans="12:12" x14ac:dyDescent="0.35">
      <c r="L612" s="22"/>
    </row>
    <row r="613" spans="12:12" x14ac:dyDescent="0.35">
      <c r="L613" s="21"/>
    </row>
    <row r="614" spans="12:12" x14ac:dyDescent="0.35">
      <c r="L614" s="21">
        <f>9.71/20</f>
        <v>0.48550000000000004</v>
      </c>
    </row>
    <row r="615" spans="12:12" x14ac:dyDescent="0.35">
      <c r="L615" s="21"/>
    </row>
    <row r="616" spans="12:12" x14ac:dyDescent="0.35">
      <c r="L616" s="21">
        <f>16.93/5</f>
        <v>3.3860000000000001</v>
      </c>
    </row>
    <row r="617" spans="12:12" x14ac:dyDescent="0.35">
      <c r="L617" s="22"/>
    </row>
    <row r="618" spans="12:12" x14ac:dyDescent="0.35">
      <c r="L618" s="22"/>
    </row>
    <row r="619" spans="12:12" x14ac:dyDescent="0.35">
      <c r="L619" s="22"/>
    </row>
    <row r="620" spans="12:12" x14ac:dyDescent="0.35">
      <c r="L620" s="22"/>
    </row>
    <row r="621" spans="12:12" x14ac:dyDescent="0.35">
      <c r="L621" s="22"/>
    </row>
    <row r="622" spans="12:12" x14ac:dyDescent="0.35">
      <c r="L622" s="22"/>
    </row>
    <row r="623" spans="12:12" x14ac:dyDescent="0.35">
      <c r="L623" s="22"/>
    </row>
    <row r="624" spans="12:12" x14ac:dyDescent="0.35">
      <c r="L624" s="22"/>
    </row>
    <row r="625" spans="12:12" x14ac:dyDescent="0.35">
      <c r="L625" s="21"/>
    </row>
    <row r="626" spans="12:12" x14ac:dyDescent="0.35">
      <c r="L626" s="21">
        <f>14.43/5.4</f>
        <v>2.6722222222222221</v>
      </c>
    </row>
    <row r="627" spans="12:12" x14ac:dyDescent="0.35">
      <c r="L627" s="22"/>
    </row>
    <row r="628" spans="12:12" x14ac:dyDescent="0.35">
      <c r="L628" s="22"/>
    </row>
    <row r="629" spans="12:12" x14ac:dyDescent="0.35">
      <c r="L629" s="22"/>
    </row>
    <row r="630" spans="12:12" x14ac:dyDescent="0.35">
      <c r="L630" s="22"/>
    </row>
    <row r="631" spans="12:12" x14ac:dyDescent="0.35">
      <c r="L631" s="22"/>
    </row>
    <row r="632" spans="12:12" x14ac:dyDescent="0.35">
      <c r="L632" s="22"/>
    </row>
    <row r="633" spans="12:12" x14ac:dyDescent="0.35">
      <c r="L633" s="22"/>
    </row>
    <row r="634" spans="12:12" x14ac:dyDescent="0.35">
      <c r="L634" s="22"/>
    </row>
    <row r="635" spans="12:12" x14ac:dyDescent="0.35">
      <c r="L635" s="22"/>
    </row>
    <row r="636" spans="12:12" x14ac:dyDescent="0.35">
      <c r="L636" s="22"/>
    </row>
    <row r="637" spans="12:12" x14ac:dyDescent="0.35">
      <c r="L637" s="22"/>
    </row>
    <row r="638" spans="12:12" x14ac:dyDescent="0.35">
      <c r="L638" s="21"/>
    </row>
    <row r="639" spans="12:12" x14ac:dyDescent="0.35">
      <c r="L639" s="21">
        <v>4.33</v>
      </c>
    </row>
    <row r="640" spans="12:12" x14ac:dyDescent="0.35">
      <c r="L640" s="22"/>
    </row>
    <row r="641" spans="12:12" x14ac:dyDescent="0.35">
      <c r="L641" s="22"/>
    </row>
    <row r="642" spans="12:12" x14ac:dyDescent="0.35">
      <c r="L642" s="22"/>
    </row>
    <row r="643" spans="12:12" x14ac:dyDescent="0.35">
      <c r="L643" s="22"/>
    </row>
    <row r="644" spans="12:12" x14ac:dyDescent="0.35">
      <c r="L644" s="22"/>
    </row>
    <row r="645" spans="12:12" x14ac:dyDescent="0.35">
      <c r="L645" s="22"/>
    </row>
    <row r="646" spans="12:12" x14ac:dyDescent="0.35">
      <c r="L646" s="22"/>
    </row>
    <row r="647" spans="12:12" x14ac:dyDescent="0.35">
      <c r="L647" s="22"/>
    </row>
    <row r="648" spans="12:12" x14ac:dyDescent="0.35">
      <c r="L648" s="22"/>
    </row>
    <row r="649" spans="12:12" x14ac:dyDescent="0.35">
      <c r="L649" s="22"/>
    </row>
    <row r="650" spans="12:12" x14ac:dyDescent="0.35">
      <c r="L650" s="22"/>
    </row>
    <row r="651" spans="12:12" x14ac:dyDescent="0.35">
      <c r="L651" s="21"/>
    </row>
    <row r="652" spans="12:12" x14ac:dyDescent="0.35">
      <c r="L652" s="21">
        <f>27.02/2.88</f>
        <v>9.3819444444444446</v>
      </c>
    </row>
    <row r="653" spans="12:12" x14ac:dyDescent="0.35">
      <c r="L653" s="22"/>
    </row>
    <row r="654" spans="12:12" x14ac:dyDescent="0.35">
      <c r="L654" s="22"/>
    </row>
    <row r="655" spans="12:12" x14ac:dyDescent="0.35">
      <c r="L655" s="22"/>
    </row>
    <row r="656" spans="12:12" x14ac:dyDescent="0.35">
      <c r="L656" s="22"/>
    </row>
    <row r="657" spans="12:12" x14ac:dyDescent="0.35">
      <c r="L657" s="22"/>
    </row>
    <row r="658" spans="12:12" x14ac:dyDescent="0.35">
      <c r="L658" s="22"/>
    </row>
    <row r="659" spans="12:12" x14ac:dyDescent="0.35">
      <c r="L659" s="22"/>
    </row>
    <row r="660" spans="12:12" x14ac:dyDescent="0.35">
      <c r="L660" s="22"/>
    </row>
    <row r="661" spans="12:12" x14ac:dyDescent="0.35">
      <c r="L661" s="22"/>
    </row>
    <row r="662" spans="12:12" x14ac:dyDescent="0.35">
      <c r="L662" s="22"/>
    </row>
    <row r="663" spans="12:12" x14ac:dyDescent="0.35">
      <c r="L663" s="22"/>
    </row>
    <row r="664" spans="12:12" x14ac:dyDescent="0.35">
      <c r="L664" s="22"/>
    </row>
    <row r="665" spans="12:12" x14ac:dyDescent="0.35">
      <c r="L665" s="22"/>
    </row>
    <row r="666" spans="12:12" x14ac:dyDescent="0.35">
      <c r="L666" s="22"/>
    </row>
    <row r="667" spans="12:12" x14ac:dyDescent="0.35">
      <c r="L667" s="22"/>
    </row>
    <row r="668" spans="12:12" x14ac:dyDescent="0.35">
      <c r="L668" s="22"/>
    </row>
    <row r="669" spans="12:12" x14ac:dyDescent="0.35">
      <c r="L669" s="22"/>
    </row>
    <row r="670" spans="12:12" x14ac:dyDescent="0.35">
      <c r="L670" s="22"/>
    </row>
    <row r="671" spans="12:12" x14ac:dyDescent="0.35">
      <c r="L671" s="22"/>
    </row>
    <row r="672" spans="12:12" x14ac:dyDescent="0.35">
      <c r="L672" s="22"/>
    </row>
    <row r="673" spans="12:12" x14ac:dyDescent="0.35">
      <c r="L673" s="22"/>
    </row>
    <row r="674" spans="12:12" x14ac:dyDescent="0.35">
      <c r="L674" s="22"/>
    </row>
    <row r="675" spans="12:12" x14ac:dyDescent="0.35">
      <c r="L675" s="22"/>
    </row>
    <row r="676" spans="12:12" x14ac:dyDescent="0.35">
      <c r="L676" s="22"/>
    </row>
    <row r="677" spans="12:12" x14ac:dyDescent="0.35">
      <c r="L677" s="22"/>
    </row>
    <row r="678" spans="12:12" x14ac:dyDescent="0.35">
      <c r="L678" s="22"/>
    </row>
    <row r="679" spans="12:12" x14ac:dyDescent="0.35">
      <c r="L679" s="22"/>
    </row>
    <row r="680" spans="12:12" x14ac:dyDescent="0.35">
      <c r="L680" s="22"/>
    </row>
    <row r="681" spans="12:12" x14ac:dyDescent="0.35">
      <c r="L681" s="22"/>
    </row>
    <row r="682" spans="12:12" x14ac:dyDescent="0.35">
      <c r="L682" s="22"/>
    </row>
    <row r="683" spans="12:12" x14ac:dyDescent="0.35">
      <c r="L683" s="22"/>
    </row>
    <row r="684" spans="12:12" x14ac:dyDescent="0.35">
      <c r="L684" s="21"/>
    </row>
    <row r="685" spans="12:12" x14ac:dyDescent="0.35">
      <c r="L685" s="21">
        <f>27.02/2.88</f>
        <v>9.3819444444444446</v>
      </c>
    </row>
    <row r="686" spans="12:12" x14ac:dyDescent="0.35">
      <c r="L686" s="22"/>
    </row>
    <row r="687" spans="12:12" x14ac:dyDescent="0.35">
      <c r="L687" s="22"/>
    </row>
    <row r="688" spans="12:12" x14ac:dyDescent="0.35">
      <c r="L688" s="22"/>
    </row>
    <row r="689" spans="12:12" x14ac:dyDescent="0.35">
      <c r="L689" s="22"/>
    </row>
    <row r="690" spans="12:12" x14ac:dyDescent="0.35">
      <c r="L690" s="21"/>
    </row>
    <row r="691" spans="12:12" x14ac:dyDescent="0.35">
      <c r="L691" s="21">
        <f>120.99/2.9768</f>
        <v>40.644316044074174</v>
      </c>
    </row>
    <row r="692" spans="12:12" x14ac:dyDescent="0.35">
      <c r="L692" s="22"/>
    </row>
    <row r="693" spans="12:12" x14ac:dyDescent="0.35">
      <c r="L693" s="22"/>
    </row>
    <row r="694" spans="12:12" x14ac:dyDescent="0.35">
      <c r="L694" s="22"/>
    </row>
    <row r="695" spans="12:12" x14ac:dyDescent="0.35">
      <c r="L695" s="22"/>
    </row>
    <row r="696" spans="12:12" x14ac:dyDescent="0.35">
      <c r="L696" s="22"/>
    </row>
    <row r="697" spans="12:12" x14ac:dyDescent="0.35">
      <c r="L697" s="22"/>
    </row>
    <row r="698" spans="12:12" x14ac:dyDescent="0.35">
      <c r="L698" s="22"/>
    </row>
    <row r="699" spans="12:12" x14ac:dyDescent="0.35">
      <c r="L699" s="22"/>
    </row>
    <row r="700" spans="12:12" x14ac:dyDescent="0.35">
      <c r="L700" s="21"/>
    </row>
    <row r="701" spans="12:12" x14ac:dyDescent="0.35">
      <c r="L701" s="21">
        <f>33.39/50</f>
        <v>0.66780000000000006</v>
      </c>
    </row>
    <row r="702" spans="12:12" x14ac:dyDescent="0.35">
      <c r="L702" s="22"/>
    </row>
    <row r="703" spans="12:12" x14ac:dyDescent="0.35">
      <c r="L703" s="22"/>
    </row>
    <row r="704" spans="12:12" x14ac:dyDescent="0.35">
      <c r="L704" s="22"/>
    </row>
    <row r="705" spans="12:12" x14ac:dyDescent="0.35">
      <c r="L705" s="22"/>
    </row>
    <row r="706" spans="12:12" x14ac:dyDescent="0.35">
      <c r="L706" s="21"/>
    </row>
    <row r="707" spans="12:12" x14ac:dyDescent="0.35">
      <c r="L707" s="21">
        <f>153.5/19.2</f>
        <v>7.994791666666667</v>
      </c>
    </row>
    <row r="708" spans="12:12" x14ac:dyDescent="0.35">
      <c r="L708" s="22"/>
    </row>
    <row r="709" spans="12:12" x14ac:dyDescent="0.35">
      <c r="L709" s="22"/>
    </row>
    <row r="710" spans="12:12" x14ac:dyDescent="0.35">
      <c r="L710" s="22"/>
    </row>
    <row r="711" spans="12:12" x14ac:dyDescent="0.35">
      <c r="L711" s="22"/>
    </row>
    <row r="712" spans="12:12" x14ac:dyDescent="0.35">
      <c r="L712" s="21"/>
    </row>
    <row r="713" spans="12:12" x14ac:dyDescent="0.35">
      <c r="L713" s="21">
        <f>199.86/17</f>
        <v>11.756470588235295</v>
      </c>
    </row>
    <row r="714" spans="12:12" x14ac:dyDescent="0.35">
      <c r="L714" s="22"/>
    </row>
    <row r="715" spans="12:12" x14ac:dyDescent="0.35">
      <c r="L715" s="22"/>
    </row>
    <row r="716" spans="12:12" x14ac:dyDescent="0.35">
      <c r="L716" s="22"/>
    </row>
    <row r="717" spans="12:12" x14ac:dyDescent="0.35">
      <c r="L717" s="22"/>
    </row>
    <row r="718" spans="12:12" x14ac:dyDescent="0.35">
      <c r="L718" s="22"/>
    </row>
    <row r="719" spans="12:12" x14ac:dyDescent="0.35">
      <c r="L719" s="21"/>
    </row>
    <row r="720" spans="12:12" x14ac:dyDescent="0.35">
      <c r="L720" s="21">
        <v>35</v>
      </c>
    </row>
    <row r="721" spans="12:12" x14ac:dyDescent="0.35">
      <c r="L721" s="22"/>
    </row>
    <row r="722" spans="12:12" x14ac:dyDescent="0.35">
      <c r="L722" s="22"/>
    </row>
    <row r="723" spans="12:12" x14ac:dyDescent="0.35">
      <c r="L723" s="22"/>
    </row>
    <row r="724" spans="12:12" x14ac:dyDescent="0.35">
      <c r="L724" s="22"/>
    </row>
    <row r="725" spans="12:12" x14ac:dyDescent="0.35">
      <c r="L725" s="22"/>
    </row>
    <row r="726" spans="12:12" x14ac:dyDescent="0.35">
      <c r="L726" s="21"/>
    </row>
    <row r="727" spans="12:12" x14ac:dyDescent="0.35">
      <c r="L727" s="21"/>
    </row>
    <row r="728" spans="12:12" x14ac:dyDescent="0.35">
      <c r="L728" s="21"/>
    </row>
    <row r="729" spans="12:12" x14ac:dyDescent="0.35">
      <c r="L729" s="21"/>
    </row>
    <row r="730" spans="12:12" x14ac:dyDescent="0.35">
      <c r="L730" s="21"/>
    </row>
    <row r="731" spans="12:12" x14ac:dyDescent="0.35">
      <c r="L731" s="30"/>
    </row>
    <row r="732" spans="12:12" x14ac:dyDescent="0.35">
      <c r="L732" s="21">
        <f>15.66/4.8</f>
        <v>3.2625000000000002</v>
      </c>
    </row>
    <row r="733" spans="12:12" x14ac:dyDescent="0.35">
      <c r="L733" s="22"/>
    </row>
    <row r="734" spans="12:12" x14ac:dyDescent="0.35">
      <c r="L734" s="22"/>
    </row>
    <row r="735" spans="12:12" x14ac:dyDescent="0.35">
      <c r="L735" s="22"/>
    </row>
    <row r="736" spans="12:12" x14ac:dyDescent="0.35">
      <c r="L736" s="22"/>
    </row>
    <row r="737" spans="12:12" x14ac:dyDescent="0.35">
      <c r="L737" s="22"/>
    </row>
    <row r="738" spans="12:12" x14ac:dyDescent="0.35">
      <c r="L738" s="22"/>
    </row>
    <row r="739" spans="12:12" x14ac:dyDescent="0.35">
      <c r="L739" s="22"/>
    </row>
    <row r="740" spans="12:12" x14ac:dyDescent="0.35">
      <c r="L740" s="22"/>
    </row>
    <row r="741" spans="12:12" x14ac:dyDescent="0.35">
      <c r="L741" s="22"/>
    </row>
    <row r="742" spans="12:12" x14ac:dyDescent="0.35">
      <c r="L742" s="22"/>
    </row>
    <row r="743" spans="12:12" x14ac:dyDescent="0.35">
      <c r="L743" s="22"/>
    </row>
    <row r="744" spans="12:12" x14ac:dyDescent="0.35">
      <c r="L744" s="22"/>
    </row>
    <row r="745" spans="12:12" x14ac:dyDescent="0.35">
      <c r="L745" s="22"/>
    </row>
    <row r="746" spans="12:12" x14ac:dyDescent="0.35">
      <c r="L746" s="22"/>
    </row>
    <row r="747" spans="12:12" x14ac:dyDescent="0.35">
      <c r="L747" s="22"/>
    </row>
    <row r="748" spans="12:12" x14ac:dyDescent="0.35">
      <c r="L748" s="21"/>
    </row>
    <row r="749" spans="12:12" x14ac:dyDescent="0.35">
      <c r="L749" s="21">
        <f>15.66/4.8</f>
        <v>3.2625000000000002</v>
      </c>
    </row>
    <row r="750" spans="12:12" x14ac:dyDescent="0.35">
      <c r="L750" s="22"/>
    </row>
    <row r="751" spans="12:12" x14ac:dyDescent="0.35">
      <c r="L751" s="22"/>
    </row>
    <row r="752" spans="12:12" x14ac:dyDescent="0.35">
      <c r="L752" s="22"/>
    </row>
    <row r="753" spans="12:12" x14ac:dyDescent="0.35">
      <c r="L753" s="22"/>
    </row>
    <row r="754" spans="12:12" x14ac:dyDescent="0.35">
      <c r="L754" s="22"/>
    </row>
    <row r="755" spans="12:12" x14ac:dyDescent="0.35">
      <c r="L755" s="22"/>
    </row>
    <row r="756" spans="12:12" x14ac:dyDescent="0.35">
      <c r="L756" s="22"/>
    </row>
    <row r="757" spans="12:12" x14ac:dyDescent="0.35">
      <c r="L757" s="22"/>
    </row>
    <row r="758" spans="12:12" x14ac:dyDescent="0.35">
      <c r="L758" s="22"/>
    </row>
    <row r="759" spans="12:12" x14ac:dyDescent="0.35">
      <c r="L759" s="22"/>
    </row>
    <row r="760" spans="12:12" x14ac:dyDescent="0.35">
      <c r="L760" s="22"/>
    </row>
    <row r="761" spans="12:12" x14ac:dyDescent="0.35">
      <c r="L761" s="21"/>
    </row>
    <row r="762" spans="12:12" x14ac:dyDescent="0.35">
      <c r="L762" s="21">
        <f>49.23/4.8</f>
        <v>10.25625</v>
      </c>
    </row>
    <row r="763" spans="12:12" x14ac:dyDescent="0.35">
      <c r="L763" s="22"/>
    </row>
    <row r="764" spans="12:12" x14ac:dyDescent="0.35">
      <c r="L764" s="22"/>
    </row>
    <row r="765" spans="12:12" x14ac:dyDescent="0.35">
      <c r="L765" s="22"/>
    </row>
    <row r="766" spans="12:12" x14ac:dyDescent="0.35">
      <c r="L766" s="22"/>
    </row>
    <row r="767" spans="12:12" x14ac:dyDescent="0.35">
      <c r="L767" s="22"/>
    </row>
    <row r="768" spans="12:12" x14ac:dyDescent="0.35">
      <c r="L768" s="22"/>
    </row>
    <row r="769" spans="12:12" x14ac:dyDescent="0.35">
      <c r="L769" s="22"/>
    </row>
    <row r="770" spans="12:12" x14ac:dyDescent="0.35">
      <c r="L770" s="21"/>
    </row>
    <row r="771" spans="12:12" x14ac:dyDescent="0.35">
      <c r="L771" s="21">
        <f>15.66/4.8</f>
        <v>3.2625000000000002</v>
      </c>
    </row>
    <row r="772" spans="12:12" x14ac:dyDescent="0.35">
      <c r="L772" s="22"/>
    </row>
    <row r="773" spans="12:12" x14ac:dyDescent="0.35">
      <c r="L773" s="22"/>
    </row>
    <row r="774" spans="12:12" x14ac:dyDescent="0.35">
      <c r="L774" s="22"/>
    </row>
    <row r="775" spans="12:12" x14ac:dyDescent="0.35">
      <c r="L775" s="22"/>
    </row>
    <row r="776" spans="12:12" x14ac:dyDescent="0.35">
      <c r="L776" s="22"/>
    </row>
    <row r="777" spans="12:12" x14ac:dyDescent="0.35">
      <c r="L777" s="22"/>
    </row>
    <row r="778" spans="12:12" x14ac:dyDescent="0.35">
      <c r="L778" s="22"/>
    </row>
    <row r="779" spans="12:12" x14ac:dyDescent="0.35">
      <c r="L779" s="21"/>
    </row>
    <row r="780" spans="12:12" x14ac:dyDescent="0.35">
      <c r="L780" s="21">
        <f>15.66/4.8</f>
        <v>3.2625000000000002</v>
      </c>
    </row>
    <row r="781" spans="12:12" x14ac:dyDescent="0.35">
      <c r="L781" s="21"/>
    </row>
    <row r="782" spans="12:12" x14ac:dyDescent="0.35">
      <c r="L782" s="21">
        <v>0.24</v>
      </c>
    </row>
    <row r="783" spans="12:12" x14ac:dyDescent="0.35">
      <c r="L783" s="22"/>
    </row>
    <row r="784" spans="12:12" x14ac:dyDescent="0.35">
      <c r="L784" s="22"/>
    </row>
    <row r="785" spans="12:12" x14ac:dyDescent="0.35">
      <c r="L785" s="22"/>
    </row>
    <row r="786" spans="12:12" x14ac:dyDescent="0.35">
      <c r="L786" s="22"/>
    </row>
    <row r="787" spans="12:12" x14ac:dyDescent="0.35">
      <c r="L787" s="22"/>
    </row>
    <row r="788" spans="12:12" x14ac:dyDescent="0.35">
      <c r="L788" s="22"/>
    </row>
    <row r="789" spans="12:12" x14ac:dyDescent="0.35">
      <c r="L789" s="22"/>
    </row>
    <row r="790" spans="12:12" x14ac:dyDescent="0.35">
      <c r="L790" s="21"/>
    </row>
    <row r="791" spans="12:12" x14ac:dyDescent="0.35">
      <c r="L791" s="74">
        <f>32.93/2.88</f>
        <v>11.434027777777779</v>
      </c>
    </row>
    <row r="792" spans="12:12" x14ac:dyDescent="0.35">
      <c r="L792" s="22"/>
    </row>
    <row r="793" spans="12:12" x14ac:dyDescent="0.35">
      <c r="L793" s="22"/>
    </row>
    <row r="794" spans="12:12" x14ac:dyDescent="0.35">
      <c r="L794" s="22"/>
    </row>
    <row r="795" spans="12:12" x14ac:dyDescent="0.35">
      <c r="L795" s="22"/>
    </row>
    <row r="796" spans="12:12" x14ac:dyDescent="0.35">
      <c r="L796" s="22"/>
    </row>
    <row r="797" spans="12:12" x14ac:dyDescent="0.35">
      <c r="L797" s="22"/>
    </row>
    <row r="798" spans="12:12" x14ac:dyDescent="0.35">
      <c r="L798" s="22"/>
    </row>
    <row r="799" spans="12:12" x14ac:dyDescent="0.35">
      <c r="L799" s="21"/>
    </row>
    <row r="800" spans="12:12" x14ac:dyDescent="0.35">
      <c r="L800" s="21">
        <v>0</v>
      </c>
    </row>
    <row r="801" spans="12:12" x14ac:dyDescent="0.35">
      <c r="L801" s="21"/>
    </row>
    <row r="802" spans="12:12" x14ac:dyDescent="0.35">
      <c r="L802" s="93">
        <f>126.39/2.9768</f>
        <v>42.458344531040048</v>
      </c>
    </row>
    <row r="803" spans="12:12" x14ac:dyDescent="0.35">
      <c r="L803" s="22"/>
    </row>
    <row r="804" spans="12:12" x14ac:dyDescent="0.35">
      <c r="L804" s="22"/>
    </row>
    <row r="805" spans="12:12" x14ac:dyDescent="0.35">
      <c r="L805" s="22"/>
    </row>
    <row r="806" spans="12:12" x14ac:dyDescent="0.35">
      <c r="L806" s="22"/>
    </row>
    <row r="807" spans="12:12" x14ac:dyDescent="0.35">
      <c r="L807" s="22"/>
    </row>
    <row r="808" spans="12:12" x14ac:dyDescent="0.35">
      <c r="L808" s="22"/>
    </row>
    <row r="809" spans="12:12" x14ac:dyDescent="0.35">
      <c r="L809" s="22"/>
    </row>
    <row r="810" spans="12:12" x14ac:dyDescent="0.35">
      <c r="L810" s="22"/>
    </row>
    <row r="811" spans="12:12" x14ac:dyDescent="0.35">
      <c r="L811" s="22"/>
    </row>
    <row r="812" spans="12:12" x14ac:dyDescent="0.35">
      <c r="L812" s="22"/>
    </row>
    <row r="813" spans="12:12" x14ac:dyDescent="0.35">
      <c r="L813" s="22"/>
    </row>
    <row r="814" spans="12:12" x14ac:dyDescent="0.35">
      <c r="L814" s="22"/>
    </row>
    <row r="815" spans="12:12" x14ac:dyDescent="0.35">
      <c r="L815" s="22"/>
    </row>
    <row r="816" spans="12:12" x14ac:dyDescent="0.35">
      <c r="L816" s="22"/>
    </row>
    <row r="817" spans="12:12" x14ac:dyDescent="0.35">
      <c r="L817" s="22"/>
    </row>
    <row r="818" spans="12:12" x14ac:dyDescent="0.35">
      <c r="L818" s="21"/>
    </row>
    <row r="819" spans="12:12" x14ac:dyDescent="0.35">
      <c r="L819" s="21"/>
    </row>
    <row r="820" spans="12:12" x14ac:dyDescent="0.35">
      <c r="L820" s="21"/>
    </row>
    <row r="821" spans="12:12" x14ac:dyDescent="0.35">
      <c r="L821" s="21"/>
    </row>
    <row r="822" spans="12:12" x14ac:dyDescent="0.35">
      <c r="L822" s="74">
        <f>27.02/2.88</f>
        <v>9.3819444444444446</v>
      </c>
    </row>
    <row r="823" spans="12:12" x14ac:dyDescent="0.35">
      <c r="L823" s="22"/>
    </row>
    <row r="824" spans="12:12" x14ac:dyDescent="0.35">
      <c r="L824" s="22"/>
    </row>
    <row r="825" spans="12:12" x14ac:dyDescent="0.35">
      <c r="L825" s="22"/>
    </row>
    <row r="826" spans="12:12" x14ac:dyDescent="0.35">
      <c r="L826" s="22"/>
    </row>
    <row r="827" spans="12:12" x14ac:dyDescent="0.35">
      <c r="L827" s="22"/>
    </row>
    <row r="828" spans="12:12" x14ac:dyDescent="0.35">
      <c r="L828" s="22"/>
    </row>
    <row r="829" spans="12:12" x14ac:dyDescent="0.35">
      <c r="L829" s="22"/>
    </row>
    <row r="830" spans="12:12" x14ac:dyDescent="0.35">
      <c r="L830" s="22"/>
    </row>
    <row r="831" spans="12:12" x14ac:dyDescent="0.35">
      <c r="L831" s="21"/>
    </row>
    <row r="832" spans="12:12" x14ac:dyDescent="0.35">
      <c r="L83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80"/>
  <sheetViews>
    <sheetView workbookViewId="0">
      <selection activeCell="B1" sqref="B1"/>
    </sheetView>
  </sheetViews>
  <sheetFormatPr defaultRowHeight="14.5" outlineLevelRow="1" outlineLevelCol="1" x14ac:dyDescent="0.35"/>
  <cols>
    <col min="2" max="2" width="34.6328125" customWidth="1"/>
    <col min="3" max="5" width="8.90625" hidden="1" customWidth="1" outlineLevel="1"/>
    <col min="6" max="6" width="9.08984375" collapsed="1"/>
    <col min="10" max="10" width="11.453125" customWidth="1"/>
    <col min="11" max="11" width="10.54296875" bestFit="1" customWidth="1"/>
    <col min="17" max="17" width="11.90625" bestFit="1" customWidth="1"/>
    <col min="20" max="20" width="11.54296875" bestFit="1" customWidth="1"/>
  </cols>
  <sheetData>
    <row r="2" spans="1:24" x14ac:dyDescent="0.35">
      <c r="A2" s="1"/>
      <c r="B2" s="59" t="str">
        <f>+Carpentry!B2</f>
        <v>New1 Warehouse and Office</v>
      </c>
      <c r="F2" s="1"/>
      <c r="G2" s="1"/>
      <c r="H2" s="1"/>
      <c r="I2" s="1"/>
      <c r="J2" s="4"/>
      <c r="K2" s="4"/>
      <c r="L2" s="11"/>
      <c r="M2" s="11"/>
      <c r="N2" s="11"/>
      <c r="O2" s="11"/>
      <c r="P2" s="3" t="s">
        <v>18</v>
      </c>
      <c r="Q2" s="1" t="s">
        <v>245</v>
      </c>
    </row>
    <row r="3" spans="1:24" x14ac:dyDescent="0.35">
      <c r="A3" s="1"/>
      <c r="B3" s="59" t="s">
        <v>132</v>
      </c>
      <c r="F3" s="1"/>
      <c r="G3" s="1"/>
      <c r="H3" s="1"/>
      <c r="I3" s="1"/>
      <c r="J3" s="4"/>
      <c r="K3" s="4"/>
      <c r="L3" s="11"/>
      <c r="M3" s="11"/>
      <c r="N3" s="11"/>
      <c r="O3" s="11"/>
      <c r="P3" s="11"/>
      <c r="Q3" s="11"/>
    </row>
    <row r="4" spans="1:24" x14ac:dyDescent="0.35">
      <c r="A4" s="1"/>
      <c r="F4" s="1"/>
      <c r="G4" s="1"/>
      <c r="H4" s="1"/>
      <c r="I4" s="1"/>
      <c r="J4" s="4"/>
      <c r="K4" s="4"/>
      <c r="L4" s="11"/>
      <c r="M4" s="11"/>
      <c r="N4" s="11"/>
      <c r="O4" s="11"/>
      <c r="P4" s="11"/>
      <c r="Q4" s="11"/>
      <c r="X4" s="1"/>
    </row>
    <row r="5" spans="1:24" ht="15" thickBot="1" x14ac:dyDescent="0.4">
      <c r="A5" s="1"/>
      <c r="F5" s="1"/>
      <c r="G5" s="1"/>
      <c r="H5" s="1"/>
      <c r="I5" s="1"/>
      <c r="J5" s="4"/>
      <c r="K5" s="4"/>
      <c r="L5" s="11"/>
      <c r="M5" s="11"/>
      <c r="N5" s="11"/>
      <c r="O5" s="11"/>
      <c r="P5" s="11"/>
      <c r="Q5" s="11"/>
    </row>
    <row r="6" spans="1:24" s="5" customFormat="1" ht="29.5" thickBot="1" x14ac:dyDescent="0.4">
      <c r="A6" s="31" t="s">
        <v>0</v>
      </c>
      <c r="B6" s="32" t="s">
        <v>1</v>
      </c>
      <c r="C6" s="32"/>
      <c r="D6" s="32"/>
      <c r="E6" s="32"/>
      <c r="F6" s="33" t="s">
        <v>2</v>
      </c>
      <c r="G6" s="33" t="s">
        <v>3</v>
      </c>
      <c r="H6" s="33" t="s">
        <v>4</v>
      </c>
      <c r="I6" s="33" t="s">
        <v>9</v>
      </c>
      <c r="J6" s="34" t="s">
        <v>5</v>
      </c>
      <c r="K6" s="34" t="s">
        <v>6</v>
      </c>
      <c r="L6" s="35" t="s">
        <v>7</v>
      </c>
      <c r="M6" s="37" t="s">
        <v>12</v>
      </c>
      <c r="N6" s="37" t="s">
        <v>13</v>
      </c>
      <c r="O6" s="37" t="s">
        <v>11</v>
      </c>
      <c r="P6" s="37" t="s">
        <v>17</v>
      </c>
      <c r="Q6" s="36" t="s">
        <v>8</v>
      </c>
      <c r="S6" s="48" t="s">
        <v>20</v>
      </c>
      <c r="T6" s="48" t="s">
        <v>19</v>
      </c>
      <c r="U6" s="48"/>
      <c r="V6" s="48" t="s">
        <v>21</v>
      </c>
    </row>
    <row r="7" spans="1:24" x14ac:dyDescent="0.35">
      <c r="A7" s="29"/>
      <c r="B7" s="55"/>
      <c r="C7" s="55"/>
      <c r="D7" s="55"/>
      <c r="E7" s="55"/>
      <c r="F7" s="29"/>
      <c r="G7" s="29"/>
      <c r="H7" s="29"/>
      <c r="I7" s="29"/>
      <c r="J7" s="42"/>
      <c r="K7" s="42"/>
      <c r="L7" s="30"/>
      <c r="M7" s="38"/>
      <c r="N7" s="39"/>
      <c r="O7" s="30"/>
      <c r="P7" s="30"/>
      <c r="Q7" s="44"/>
      <c r="S7" s="3"/>
      <c r="T7" s="3"/>
      <c r="U7" s="3"/>
      <c r="V7" s="3"/>
    </row>
    <row r="8" spans="1:24" x14ac:dyDescent="0.35">
      <c r="A8" s="29"/>
      <c r="B8" s="68" t="s">
        <v>132</v>
      </c>
      <c r="C8" s="55"/>
      <c r="D8" s="55"/>
      <c r="E8" s="55"/>
      <c r="F8" s="29"/>
      <c r="G8" s="29"/>
      <c r="H8" s="29"/>
      <c r="I8" s="29"/>
      <c r="J8" s="42"/>
      <c r="K8" s="42"/>
      <c r="L8" s="30"/>
      <c r="M8" s="38"/>
      <c r="N8" s="39"/>
      <c r="O8" s="30"/>
      <c r="P8" s="30"/>
      <c r="Q8" s="44"/>
      <c r="S8" s="3"/>
      <c r="T8" s="3"/>
      <c r="U8" s="3"/>
      <c r="V8" s="3"/>
    </row>
    <row r="9" spans="1:24" x14ac:dyDescent="0.35">
      <c r="A9" s="6">
        <v>1</v>
      </c>
      <c r="B9" s="57" t="s">
        <v>116</v>
      </c>
      <c r="C9" s="57"/>
      <c r="D9" s="57"/>
      <c r="E9" s="57"/>
      <c r="F9" s="58">
        <v>55</v>
      </c>
      <c r="G9" s="6" t="s">
        <v>117</v>
      </c>
      <c r="H9" s="6"/>
      <c r="I9" s="6" t="str">
        <f>+$Q$2</f>
        <v>??</v>
      </c>
      <c r="J9" s="14" t="e">
        <f>+F9*H9*I9</f>
        <v>#VALUE!</v>
      </c>
      <c r="K9" s="14">
        <f>150+180+(170*6)</f>
        <v>1350</v>
      </c>
      <c r="L9" s="21"/>
      <c r="M9" s="46">
        <v>0.05</v>
      </c>
      <c r="N9" s="40">
        <f>+L9*M9</f>
        <v>0</v>
      </c>
      <c r="O9" s="21"/>
      <c r="P9" s="21"/>
      <c r="Q9" s="45">
        <f>+(F9*L9)+(F9*N9)+O9+P9</f>
        <v>0</v>
      </c>
      <c r="S9" s="53" t="e">
        <f>+T9/F9</f>
        <v>#VALUE!</v>
      </c>
      <c r="T9" s="49" t="e">
        <f>+J9+K9+Q9</f>
        <v>#VALUE!</v>
      </c>
      <c r="U9" s="49"/>
      <c r="V9" s="53">
        <f>+F9*H9</f>
        <v>0</v>
      </c>
    </row>
    <row r="10" spans="1:24" s="2" customFormat="1" hidden="1" outlineLevel="1" x14ac:dyDescent="0.35">
      <c r="A10" s="8"/>
      <c r="B10" s="9" t="s">
        <v>123</v>
      </c>
      <c r="C10" s="9">
        <v>3</v>
      </c>
      <c r="D10" s="9">
        <v>3</v>
      </c>
      <c r="E10" s="9">
        <f>0.5*4</f>
        <v>2</v>
      </c>
      <c r="F10" s="10">
        <f>+C10*D10*E10</f>
        <v>18</v>
      </c>
      <c r="G10" s="10"/>
      <c r="H10" s="10"/>
      <c r="I10" s="10"/>
      <c r="J10" s="14"/>
      <c r="K10" s="14"/>
      <c r="L10" s="22"/>
      <c r="M10" s="47"/>
      <c r="N10" s="41"/>
      <c r="O10" s="22"/>
      <c r="P10" s="22"/>
      <c r="Q10" s="45"/>
      <c r="S10" s="50"/>
      <c r="T10" s="50"/>
      <c r="U10" s="50"/>
      <c r="V10" s="50"/>
    </row>
    <row r="11" spans="1:24" s="2" customFormat="1" hidden="1" outlineLevel="1" x14ac:dyDescent="0.35">
      <c r="A11" s="8"/>
      <c r="B11" s="9" t="s">
        <v>124</v>
      </c>
      <c r="C11" s="9">
        <v>2.5</v>
      </c>
      <c r="D11" s="9">
        <v>2.5</v>
      </c>
      <c r="E11" s="9">
        <f>0.5*3</f>
        <v>1.5</v>
      </c>
      <c r="F11" s="10">
        <f t="shared" ref="F11:F16" si="0">+C11*D11*E11</f>
        <v>9.375</v>
      </c>
      <c r="G11" s="10"/>
      <c r="H11" s="10"/>
      <c r="I11" s="10"/>
      <c r="J11" s="14"/>
      <c r="K11" s="14"/>
      <c r="L11" s="22"/>
      <c r="M11" s="47"/>
      <c r="N11" s="41"/>
      <c r="O11" s="22"/>
      <c r="P11" s="22"/>
      <c r="Q11" s="45"/>
      <c r="S11" s="50"/>
      <c r="T11" s="50"/>
      <c r="U11" s="50"/>
      <c r="V11" s="50"/>
    </row>
    <row r="12" spans="1:24" s="2" customFormat="1" hidden="1" outlineLevel="1" x14ac:dyDescent="0.35">
      <c r="A12" s="8"/>
      <c r="B12" s="9" t="s">
        <v>125</v>
      </c>
      <c r="C12" s="9">
        <v>2.5</v>
      </c>
      <c r="D12" s="9">
        <v>2.5</v>
      </c>
      <c r="E12" s="9">
        <f>0.45*2</f>
        <v>0.9</v>
      </c>
      <c r="F12" s="10">
        <f t="shared" si="0"/>
        <v>5.625</v>
      </c>
      <c r="G12" s="10"/>
      <c r="H12" s="10"/>
      <c r="I12" s="10"/>
      <c r="J12" s="14"/>
      <c r="K12" s="14"/>
      <c r="L12" s="22"/>
      <c r="M12" s="47"/>
      <c r="N12" s="41"/>
      <c r="O12" s="22"/>
      <c r="P12" s="22"/>
      <c r="Q12" s="45"/>
      <c r="S12" s="50"/>
      <c r="T12" s="50"/>
      <c r="U12" s="50"/>
      <c r="V12" s="50"/>
    </row>
    <row r="13" spans="1:24" s="2" customFormat="1" hidden="1" outlineLevel="1" x14ac:dyDescent="0.35">
      <c r="A13" s="8"/>
      <c r="B13" s="9" t="s">
        <v>126</v>
      </c>
      <c r="C13" s="9">
        <v>1.2</v>
      </c>
      <c r="D13" s="9">
        <v>2.7</v>
      </c>
      <c r="E13" s="9">
        <v>0.5</v>
      </c>
      <c r="F13" s="10">
        <f t="shared" si="0"/>
        <v>1.62</v>
      </c>
      <c r="G13" s="10"/>
      <c r="H13" s="10"/>
      <c r="I13" s="10"/>
      <c r="J13" s="14"/>
      <c r="K13" s="14"/>
      <c r="L13" s="22"/>
      <c r="M13" s="47"/>
      <c r="N13" s="41"/>
      <c r="O13" s="22"/>
      <c r="P13" s="22"/>
      <c r="Q13" s="45"/>
      <c r="S13" s="50"/>
      <c r="T13" s="50"/>
      <c r="U13" s="50"/>
      <c r="V13" s="50"/>
    </row>
    <row r="14" spans="1:24" s="2" customFormat="1" hidden="1" outlineLevel="1" x14ac:dyDescent="0.35">
      <c r="A14" s="8"/>
      <c r="B14" s="9" t="s">
        <v>127</v>
      </c>
      <c r="C14" s="9">
        <v>2.1</v>
      </c>
      <c r="D14" s="9">
        <v>3.5</v>
      </c>
      <c r="E14" s="9">
        <v>0.5</v>
      </c>
      <c r="F14" s="10">
        <f t="shared" si="0"/>
        <v>3.6750000000000003</v>
      </c>
      <c r="G14" s="10"/>
      <c r="H14" s="10"/>
      <c r="I14" s="10"/>
      <c r="J14" s="14"/>
      <c r="K14" s="14"/>
      <c r="L14" s="22"/>
      <c r="M14" s="47"/>
      <c r="N14" s="41"/>
      <c r="O14" s="22"/>
      <c r="P14" s="22"/>
      <c r="Q14" s="45"/>
      <c r="S14" s="50"/>
      <c r="T14" s="50"/>
      <c r="U14" s="50"/>
      <c r="V14" s="50"/>
    </row>
    <row r="15" spans="1:24" s="2" customFormat="1" hidden="1" outlineLevel="1" x14ac:dyDescent="0.35">
      <c r="A15" s="8"/>
      <c r="B15" s="9" t="s">
        <v>128</v>
      </c>
      <c r="C15" s="9">
        <v>1.5</v>
      </c>
      <c r="D15" s="9">
        <v>1.5</v>
      </c>
      <c r="E15" s="9">
        <v>0.5</v>
      </c>
      <c r="F15" s="10">
        <f t="shared" si="0"/>
        <v>1.125</v>
      </c>
      <c r="G15" s="10"/>
      <c r="H15" s="10"/>
      <c r="I15" s="10"/>
      <c r="J15" s="14"/>
      <c r="K15" s="14"/>
      <c r="L15" s="22"/>
      <c r="M15" s="47"/>
      <c r="N15" s="41"/>
      <c r="O15" s="22"/>
      <c r="P15" s="22"/>
      <c r="Q15" s="45"/>
      <c r="S15" s="50"/>
      <c r="T15" s="50"/>
      <c r="U15" s="50"/>
      <c r="V15" s="50"/>
    </row>
    <row r="16" spans="1:24" s="2" customFormat="1" hidden="1" outlineLevel="1" x14ac:dyDescent="0.35">
      <c r="A16" s="8"/>
      <c r="B16" s="9" t="s">
        <v>156</v>
      </c>
      <c r="C16" s="9">
        <v>1.5</v>
      </c>
      <c r="D16" s="9">
        <v>0.8</v>
      </c>
      <c r="E16" s="9">
        <v>0.5</v>
      </c>
      <c r="F16" s="10">
        <f t="shared" si="0"/>
        <v>0.60000000000000009</v>
      </c>
      <c r="G16" s="10"/>
      <c r="H16" s="10"/>
      <c r="I16" s="10"/>
      <c r="J16" s="14"/>
      <c r="K16" s="14"/>
      <c r="L16" s="22"/>
      <c r="M16" s="47"/>
      <c r="N16" s="41"/>
      <c r="O16" s="22"/>
      <c r="P16" s="22"/>
      <c r="Q16" s="45"/>
      <c r="S16" s="50"/>
      <c r="T16" s="50"/>
      <c r="U16" s="50"/>
      <c r="V16" s="50"/>
    </row>
    <row r="17" spans="1:22" s="2" customFormat="1" hidden="1" outlineLevel="1" x14ac:dyDescent="0.35">
      <c r="A17" s="8"/>
      <c r="B17" s="9"/>
      <c r="C17" s="9"/>
      <c r="D17" s="9"/>
      <c r="E17" s="9"/>
      <c r="F17" s="10"/>
      <c r="G17" s="10"/>
      <c r="H17" s="10"/>
      <c r="I17" s="10"/>
      <c r="J17" s="14"/>
      <c r="K17" s="14"/>
      <c r="L17" s="22"/>
      <c r="M17" s="47"/>
      <c r="N17" s="41"/>
      <c r="O17" s="22"/>
      <c r="P17" s="22"/>
      <c r="Q17" s="45"/>
      <c r="S17" s="50"/>
      <c r="T17" s="50"/>
      <c r="U17" s="50"/>
      <c r="V17" s="50"/>
    </row>
    <row r="18" spans="1:22" s="2" customFormat="1" hidden="1" outlineLevel="1" x14ac:dyDescent="0.35">
      <c r="A18" s="8"/>
      <c r="B18" s="9"/>
      <c r="C18" s="9"/>
      <c r="D18" s="9"/>
      <c r="E18" s="9"/>
      <c r="F18" s="10">
        <f>SUM(F10:F17)</f>
        <v>40.019999999999996</v>
      </c>
      <c r="G18" s="10"/>
      <c r="H18" s="10"/>
      <c r="I18" s="10"/>
      <c r="J18" s="14"/>
      <c r="K18" s="14"/>
      <c r="L18" s="22"/>
      <c r="M18" s="47"/>
      <c r="N18" s="41"/>
      <c r="O18" s="22"/>
      <c r="P18" s="22"/>
      <c r="Q18" s="45"/>
      <c r="S18" s="50"/>
      <c r="T18" s="50"/>
      <c r="U18" s="50"/>
      <c r="V18" s="50"/>
    </row>
    <row r="19" spans="1:22" collapsed="1" x14ac:dyDescent="0.35">
      <c r="A19" s="6"/>
      <c r="B19" s="56"/>
      <c r="C19" s="56"/>
      <c r="D19" s="56"/>
      <c r="E19" s="56"/>
      <c r="F19" s="6"/>
      <c r="G19" s="6"/>
      <c r="H19" s="6"/>
      <c r="I19" s="6"/>
      <c r="J19" s="14"/>
      <c r="K19" s="14"/>
      <c r="L19" s="21"/>
      <c r="M19" s="46"/>
      <c r="N19" s="40"/>
      <c r="O19" s="21"/>
      <c r="P19" s="21"/>
      <c r="Q19" s="45"/>
      <c r="S19" s="3"/>
      <c r="T19" s="3"/>
      <c r="U19" s="3"/>
      <c r="V19" s="3"/>
    </row>
    <row r="20" spans="1:22" x14ac:dyDescent="0.35">
      <c r="A20" s="6">
        <f>+A9+1</f>
        <v>2</v>
      </c>
      <c r="B20" s="57" t="s">
        <v>118</v>
      </c>
      <c r="C20" s="57"/>
      <c r="D20" s="57"/>
      <c r="E20" s="57"/>
      <c r="F20" s="58">
        <v>33</v>
      </c>
      <c r="G20" s="6" t="s">
        <v>117</v>
      </c>
      <c r="H20" s="6"/>
      <c r="I20" s="6" t="str">
        <f>+$Q$2</f>
        <v>??</v>
      </c>
      <c r="J20" s="14" t="e">
        <f>+F20*H20*I20</f>
        <v>#VALUE!</v>
      </c>
      <c r="K20" s="14">
        <f>150+180+(170*12.7)</f>
        <v>2489</v>
      </c>
      <c r="L20" s="21"/>
      <c r="M20" s="46">
        <v>0.05</v>
      </c>
      <c r="N20" s="40">
        <f>+L20*M20</f>
        <v>0</v>
      </c>
      <c r="O20" s="21"/>
      <c r="P20" s="21"/>
      <c r="Q20" s="45">
        <f>+(F20*L20)+(F20*N20)+O20+P20</f>
        <v>0</v>
      </c>
      <c r="S20" s="53" t="e">
        <f>+T20/F20</f>
        <v>#VALUE!</v>
      </c>
      <c r="T20" s="49" t="e">
        <f>+J20+K20+Q20</f>
        <v>#VALUE!</v>
      </c>
      <c r="U20" s="49"/>
      <c r="V20" s="53">
        <f>+F20*H20</f>
        <v>0</v>
      </c>
    </row>
    <row r="21" spans="1:22" s="2" customFormat="1" hidden="1" outlineLevel="1" x14ac:dyDescent="0.35">
      <c r="A21" s="8"/>
      <c r="B21" s="9" t="s">
        <v>37</v>
      </c>
      <c r="C21" s="9">
        <v>21.5</v>
      </c>
      <c r="D21" s="9">
        <v>0.55000000000000004</v>
      </c>
      <c r="E21" s="9">
        <v>0.5</v>
      </c>
      <c r="F21" s="10">
        <f>+C21*D21*E21</f>
        <v>5.9125000000000005</v>
      </c>
      <c r="G21" s="10"/>
      <c r="H21" s="10"/>
      <c r="I21" s="10"/>
      <c r="J21" s="14"/>
      <c r="K21" s="14"/>
      <c r="L21" s="22"/>
      <c r="M21" s="47"/>
      <c r="N21" s="41"/>
      <c r="O21" s="22"/>
      <c r="P21" s="22"/>
      <c r="Q21" s="45"/>
      <c r="S21" s="50"/>
      <c r="T21" s="50"/>
      <c r="U21" s="50"/>
      <c r="V21" s="50"/>
    </row>
    <row r="22" spans="1:22" s="2" customFormat="1" hidden="1" outlineLevel="1" x14ac:dyDescent="0.35">
      <c r="A22" s="8"/>
      <c r="B22" s="9" t="s">
        <v>107</v>
      </c>
      <c r="C22" s="9">
        <v>21.5</v>
      </c>
      <c r="D22" s="9">
        <v>0.55000000000000004</v>
      </c>
      <c r="E22" s="9">
        <v>0.5</v>
      </c>
      <c r="F22" s="10">
        <f t="shared" ref="F22:F31" si="1">+C22*D22*E22</f>
        <v>5.9125000000000005</v>
      </c>
      <c r="G22" s="10"/>
      <c r="H22" s="10"/>
      <c r="I22" s="10"/>
      <c r="J22" s="14"/>
      <c r="K22" s="14"/>
      <c r="L22" s="22"/>
      <c r="M22" s="47"/>
      <c r="N22" s="41"/>
      <c r="O22" s="22"/>
      <c r="P22" s="22"/>
      <c r="Q22" s="45"/>
      <c r="S22" s="50"/>
      <c r="T22" s="50"/>
      <c r="U22" s="50"/>
      <c r="V22" s="50"/>
    </row>
    <row r="23" spans="1:22" s="2" customFormat="1" hidden="1" outlineLevel="1" x14ac:dyDescent="0.35">
      <c r="A23" s="8"/>
      <c r="B23" s="9" t="s">
        <v>87</v>
      </c>
      <c r="C23" s="9">
        <v>16.5</v>
      </c>
      <c r="D23" s="9">
        <v>0.55000000000000004</v>
      </c>
      <c r="E23" s="9">
        <v>0.5</v>
      </c>
      <c r="F23" s="10">
        <f t="shared" si="1"/>
        <v>4.5375000000000005</v>
      </c>
      <c r="G23" s="10"/>
      <c r="H23" s="10"/>
      <c r="I23" s="10"/>
      <c r="J23" s="14"/>
      <c r="K23" s="14"/>
      <c r="L23" s="22"/>
      <c r="M23" s="47"/>
      <c r="N23" s="41"/>
      <c r="O23" s="22"/>
      <c r="P23" s="22"/>
      <c r="Q23" s="45"/>
      <c r="S23" s="50"/>
      <c r="T23" s="50"/>
      <c r="U23" s="50"/>
      <c r="V23" s="50"/>
    </row>
    <row r="24" spans="1:22" s="2" customFormat="1" hidden="1" outlineLevel="1" x14ac:dyDescent="0.35">
      <c r="A24" s="8"/>
      <c r="B24" s="9" t="s">
        <v>91</v>
      </c>
      <c r="C24" s="9">
        <v>16.5</v>
      </c>
      <c r="D24" s="9">
        <v>0.55000000000000004</v>
      </c>
      <c r="E24" s="9">
        <v>0.5</v>
      </c>
      <c r="F24" s="10">
        <f t="shared" si="1"/>
        <v>4.5375000000000005</v>
      </c>
      <c r="G24" s="10"/>
      <c r="H24" s="10"/>
      <c r="I24" s="10"/>
      <c r="J24" s="14"/>
      <c r="K24" s="14"/>
      <c r="L24" s="22"/>
      <c r="M24" s="47"/>
      <c r="N24" s="41"/>
      <c r="O24" s="22"/>
      <c r="P24" s="22"/>
      <c r="Q24" s="45"/>
      <c r="S24" s="50"/>
      <c r="T24" s="50"/>
      <c r="U24" s="50"/>
      <c r="V24" s="50"/>
    </row>
    <row r="25" spans="1:22" s="2" customFormat="1" hidden="1" outlineLevel="1" x14ac:dyDescent="0.35">
      <c r="A25" s="8"/>
      <c r="B25" s="9" t="s">
        <v>129</v>
      </c>
      <c r="C25" s="9">
        <v>22.5</v>
      </c>
      <c r="D25" s="9">
        <v>0.25</v>
      </c>
      <c r="E25" s="9">
        <v>0.2</v>
      </c>
      <c r="F25" s="10">
        <f t="shared" si="1"/>
        <v>1.125</v>
      </c>
      <c r="G25" s="10"/>
      <c r="H25" s="10"/>
      <c r="I25" s="10"/>
      <c r="J25" s="14"/>
      <c r="K25" s="14"/>
      <c r="L25" s="22"/>
      <c r="M25" s="47"/>
      <c r="N25" s="41"/>
      <c r="O25" s="22"/>
      <c r="P25" s="22"/>
      <c r="Q25" s="45"/>
      <c r="S25" s="50"/>
      <c r="T25" s="50"/>
      <c r="U25" s="50"/>
      <c r="V25" s="50"/>
    </row>
    <row r="26" spans="1:22" s="2" customFormat="1" hidden="1" outlineLevel="1" x14ac:dyDescent="0.35">
      <c r="A26" s="8"/>
      <c r="B26" s="9" t="s">
        <v>130</v>
      </c>
      <c r="C26" s="9">
        <v>16</v>
      </c>
      <c r="D26" s="9">
        <v>0.2</v>
      </c>
      <c r="E26" s="9">
        <f>0.2*2</f>
        <v>0.4</v>
      </c>
      <c r="F26" s="10">
        <f t="shared" si="1"/>
        <v>1.2800000000000002</v>
      </c>
      <c r="G26" s="10"/>
      <c r="H26" s="10"/>
      <c r="I26" s="10"/>
      <c r="J26" s="14"/>
      <c r="K26" s="14"/>
      <c r="L26" s="22"/>
      <c r="M26" s="47"/>
      <c r="N26" s="41"/>
      <c r="O26" s="22"/>
      <c r="P26" s="22"/>
      <c r="Q26" s="45"/>
      <c r="S26" s="50"/>
      <c r="T26" s="50"/>
      <c r="U26" s="50"/>
      <c r="V26" s="50"/>
    </row>
    <row r="27" spans="1:22" s="2" customFormat="1" hidden="1" outlineLevel="1" x14ac:dyDescent="0.35">
      <c r="A27" s="8"/>
      <c r="B27" s="9"/>
      <c r="C27" s="9">
        <v>21.5</v>
      </c>
      <c r="D27" s="9">
        <v>0.2</v>
      </c>
      <c r="E27" s="9">
        <v>0.2</v>
      </c>
      <c r="F27" s="10">
        <f t="shared" si="1"/>
        <v>0.86</v>
      </c>
      <c r="G27" s="10"/>
      <c r="H27" s="10"/>
      <c r="I27" s="10"/>
      <c r="J27" s="14"/>
      <c r="K27" s="14"/>
      <c r="L27" s="22"/>
      <c r="M27" s="47"/>
      <c r="N27" s="41"/>
      <c r="O27" s="22"/>
      <c r="P27" s="22"/>
      <c r="Q27" s="45"/>
      <c r="S27" s="50"/>
      <c r="T27" s="50"/>
      <c r="U27" s="50"/>
      <c r="V27" s="50"/>
    </row>
    <row r="28" spans="1:22" s="2" customFormat="1" hidden="1" outlineLevel="1" x14ac:dyDescent="0.35">
      <c r="A28" s="8"/>
      <c r="B28" s="9" t="s">
        <v>136</v>
      </c>
      <c r="C28" s="9">
        <f>SUM(C21:C24)</f>
        <v>76</v>
      </c>
      <c r="D28" s="9">
        <f>+(0.2*0.2)*0.5</f>
        <v>2.0000000000000004E-2</v>
      </c>
      <c r="E28" s="9">
        <v>1</v>
      </c>
      <c r="F28" s="10">
        <f t="shared" si="1"/>
        <v>1.5200000000000002</v>
      </c>
      <c r="G28" s="10"/>
      <c r="H28" s="10"/>
      <c r="I28" s="10"/>
      <c r="J28" s="14"/>
      <c r="K28" s="14"/>
      <c r="L28" s="22"/>
      <c r="M28" s="47"/>
      <c r="N28" s="41"/>
      <c r="O28" s="22"/>
      <c r="P28" s="22"/>
      <c r="Q28" s="45"/>
      <c r="S28" s="50"/>
      <c r="T28" s="50"/>
      <c r="U28" s="50"/>
      <c r="V28" s="50"/>
    </row>
    <row r="29" spans="1:22" s="2" customFormat="1" hidden="1" outlineLevel="1" x14ac:dyDescent="0.35">
      <c r="A29" s="8"/>
      <c r="B29" s="9"/>
      <c r="C29" s="9"/>
      <c r="D29" s="9"/>
      <c r="E29" s="9"/>
      <c r="F29" s="10">
        <f t="shared" si="1"/>
        <v>0</v>
      </c>
      <c r="G29" s="10"/>
      <c r="H29" s="10"/>
      <c r="I29" s="10"/>
      <c r="J29" s="14"/>
      <c r="K29" s="14"/>
      <c r="L29" s="22"/>
      <c r="M29" s="47"/>
      <c r="N29" s="41"/>
      <c r="O29" s="22"/>
      <c r="P29" s="22"/>
      <c r="Q29" s="45"/>
      <c r="S29" s="50"/>
      <c r="T29" s="50"/>
      <c r="U29" s="50"/>
      <c r="V29" s="50"/>
    </row>
    <row r="30" spans="1:22" s="2" customFormat="1" hidden="1" outlineLevel="1" x14ac:dyDescent="0.35">
      <c r="A30" s="8"/>
      <c r="B30" s="9"/>
      <c r="C30" s="9"/>
      <c r="D30" s="9"/>
      <c r="E30" s="9"/>
      <c r="F30" s="10">
        <f t="shared" si="1"/>
        <v>0</v>
      </c>
      <c r="G30" s="10"/>
      <c r="H30" s="10"/>
      <c r="I30" s="10"/>
      <c r="J30" s="14"/>
      <c r="K30" s="14"/>
      <c r="L30" s="22"/>
      <c r="M30" s="47"/>
      <c r="N30" s="41"/>
      <c r="O30" s="22"/>
      <c r="P30" s="22"/>
      <c r="Q30" s="45"/>
      <c r="S30" s="50"/>
      <c r="T30" s="50"/>
      <c r="U30" s="50"/>
      <c r="V30" s="50"/>
    </row>
    <row r="31" spans="1:22" s="2" customFormat="1" hidden="1" outlineLevel="1" x14ac:dyDescent="0.35">
      <c r="A31" s="8"/>
      <c r="B31" s="9"/>
      <c r="C31" s="9"/>
      <c r="D31" s="9"/>
      <c r="E31" s="9"/>
      <c r="F31" s="10">
        <f t="shared" si="1"/>
        <v>0</v>
      </c>
      <c r="G31" s="10"/>
      <c r="H31" s="10"/>
      <c r="I31" s="10"/>
      <c r="J31" s="14"/>
      <c r="K31" s="14"/>
      <c r="L31" s="22"/>
      <c r="M31" s="47"/>
      <c r="N31" s="41"/>
      <c r="O31" s="22"/>
      <c r="P31" s="22"/>
      <c r="Q31" s="45"/>
      <c r="S31" s="50"/>
      <c r="T31" s="50"/>
      <c r="U31" s="50"/>
      <c r="V31" s="50"/>
    </row>
    <row r="32" spans="1:22" s="2" customFormat="1" hidden="1" outlineLevel="1" x14ac:dyDescent="0.35">
      <c r="A32" s="8"/>
      <c r="B32" s="9"/>
      <c r="C32" s="9"/>
      <c r="D32" s="9"/>
      <c r="E32" s="9"/>
      <c r="F32" s="10"/>
      <c r="G32" s="10"/>
      <c r="H32" s="10"/>
      <c r="I32" s="10"/>
      <c r="J32" s="14"/>
      <c r="K32" s="14"/>
      <c r="L32" s="22"/>
      <c r="M32" s="47"/>
      <c r="N32" s="41"/>
      <c r="O32" s="22"/>
      <c r="P32" s="22"/>
      <c r="Q32" s="45"/>
      <c r="S32" s="50"/>
      <c r="T32" s="50"/>
      <c r="U32" s="50"/>
      <c r="V32" s="50"/>
    </row>
    <row r="33" spans="1:22" s="2" customFormat="1" hidden="1" outlineLevel="1" x14ac:dyDescent="0.35">
      <c r="A33" s="8"/>
      <c r="B33" s="9"/>
      <c r="C33" s="9"/>
      <c r="D33" s="9"/>
      <c r="E33" s="9"/>
      <c r="F33" s="10">
        <f>SUM(F21:F32)</f>
        <v>25.685000000000002</v>
      </c>
      <c r="G33" s="10"/>
      <c r="H33" s="10"/>
      <c r="I33" s="10"/>
      <c r="J33" s="14"/>
      <c r="K33" s="14"/>
      <c r="L33" s="22"/>
      <c r="M33" s="47"/>
      <c r="N33" s="41"/>
      <c r="O33" s="22"/>
      <c r="P33" s="22"/>
      <c r="Q33" s="45"/>
      <c r="S33" s="50"/>
      <c r="T33" s="50"/>
      <c r="U33" s="50"/>
      <c r="V33" s="50"/>
    </row>
    <row r="34" spans="1:22" collapsed="1" x14ac:dyDescent="0.35">
      <c r="A34" s="6"/>
      <c r="B34" s="56"/>
      <c r="C34" s="56"/>
      <c r="D34" s="56"/>
      <c r="E34" s="56"/>
      <c r="F34" s="6"/>
      <c r="G34" s="6"/>
      <c r="H34" s="6"/>
      <c r="I34" s="6"/>
      <c r="J34" s="14"/>
      <c r="K34" s="14"/>
      <c r="L34" s="21"/>
      <c r="M34" s="46"/>
      <c r="N34" s="40"/>
      <c r="O34" s="21"/>
      <c r="P34" s="21"/>
      <c r="Q34" s="45"/>
      <c r="S34" s="3"/>
      <c r="T34" s="3"/>
      <c r="U34" s="3"/>
      <c r="V34" s="3"/>
    </row>
    <row r="35" spans="1:22" x14ac:dyDescent="0.35">
      <c r="A35" s="6">
        <f>+A20+1</f>
        <v>3</v>
      </c>
      <c r="B35" s="57" t="s">
        <v>119</v>
      </c>
      <c r="C35" s="57"/>
      <c r="D35" s="57"/>
      <c r="E35" s="57"/>
      <c r="F35" s="58">
        <f>+ROUNDUP(F42,0)</f>
        <v>192</v>
      </c>
      <c r="G35" s="6" t="s">
        <v>117</v>
      </c>
      <c r="H35" s="6"/>
      <c r="I35" s="6" t="str">
        <f>+$Q$2</f>
        <v>??</v>
      </c>
      <c r="J35" s="14" t="e">
        <f>+F35*H35*I35</f>
        <v>#VALUE!</v>
      </c>
      <c r="K35" s="14">
        <f>150+180+(3.3*170)*3</f>
        <v>2013</v>
      </c>
      <c r="L35" s="21"/>
      <c r="M35" s="46">
        <v>0.05</v>
      </c>
      <c r="N35" s="40">
        <f>+L35*M35</f>
        <v>0</v>
      </c>
      <c r="O35" s="21"/>
      <c r="P35" s="21"/>
      <c r="Q35" s="45">
        <f>+(F35*L35)+(F35*N35)+O35+P35</f>
        <v>0</v>
      </c>
      <c r="S35" s="53" t="e">
        <f>+T35/F35</f>
        <v>#VALUE!</v>
      </c>
      <c r="T35" s="49" t="e">
        <f>+J35+K35+Q35</f>
        <v>#VALUE!</v>
      </c>
      <c r="U35" s="49"/>
      <c r="V35" s="53">
        <f>+F35*H35</f>
        <v>0</v>
      </c>
    </row>
    <row r="36" spans="1:22" s="2" customFormat="1" hidden="1" outlineLevel="1" x14ac:dyDescent="0.35">
      <c r="A36" s="8"/>
      <c r="B36" s="9" t="s">
        <v>139</v>
      </c>
      <c r="C36" s="9">
        <v>3</v>
      </c>
      <c r="D36" s="9">
        <v>0.5</v>
      </c>
      <c r="E36" s="9">
        <f>0.5*10*25</f>
        <v>125</v>
      </c>
      <c r="F36" s="10">
        <f>+C36*D36*E36</f>
        <v>187.5</v>
      </c>
      <c r="G36" s="10"/>
      <c r="H36" s="10"/>
      <c r="I36" s="10"/>
      <c r="J36" s="14"/>
      <c r="K36" s="14"/>
      <c r="L36" s="22"/>
      <c r="M36" s="47"/>
      <c r="N36" s="41"/>
      <c r="O36" s="22"/>
      <c r="P36" s="22"/>
      <c r="Q36" s="45"/>
      <c r="S36" s="50"/>
      <c r="T36" s="50"/>
      <c r="U36" s="50"/>
      <c r="V36" s="50"/>
    </row>
    <row r="37" spans="1:22" s="2" customFormat="1" hidden="1" outlineLevel="1" x14ac:dyDescent="0.35">
      <c r="A37" s="8"/>
      <c r="B37" s="9" t="s">
        <v>140</v>
      </c>
      <c r="C37" s="9">
        <v>3</v>
      </c>
      <c r="D37" s="9">
        <v>0.5</v>
      </c>
      <c r="E37" s="9">
        <f>0.4*4</f>
        <v>1.6</v>
      </c>
      <c r="F37" s="10">
        <f t="shared" ref="F37:F40" si="2">+C37*D37*E37</f>
        <v>2.4000000000000004</v>
      </c>
      <c r="G37" s="10"/>
      <c r="H37" s="10"/>
      <c r="I37" s="10"/>
      <c r="J37" s="14"/>
      <c r="K37" s="14"/>
      <c r="L37" s="22"/>
      <c r="M37" s="47"/>
      <c r="N37" s="41"/>
      <c r="O37" s="22"/>
      <c r="P37" s="22"/>
      <c r="Q37" s="45"/>
      <c r="S37" s="50"/>
      <c r="T37" s="50"/>
      <c r="U37" s="50"/>
      <c r="V37" s="50"/>
    </row>
    <row r="38" spans="1:22" s="2" customFormat="1" hidden="1" outlineLevel="1" x14ac:dyDescent="0.35">
      <c r="A38" s="8"/>
      <c r="B38" s="9" t="s">
        <v>141</v>
      </c>
      <c r="C38" s="9">
        <v>3</v>
      </c>
      <c r="D38" s="9">
        <v>0.375</v>
      </c>
      <c r="E38" s="9">
        <v>0.375</v>
      </c>
      <c r="F38" s="10">
        <f t="shared" si="2"/>
        <v>0.421875</v>
      </c>
      <c r="G38" s="10"/>
      <c r="H38" s="10"/>
      <c r="I38" s="10"/>
      <c r="J38" s="14"/>
      <c r="K38" s="14"/>
      <c r="L38" s="22"/>
      <c r="M38" s="47"/>
      <c r="N38" s="41"/>
      <c r="O38" s="22"/>
      <c r="P38" s="22"/>
      <c r="Q38" s="45"/>
      <c r="S38" s="50"/>
      <c r="T38" s="50"/>
      <c r="U38" s="50"/>
      <c r="V38" s="50"/>
    </row>
    <row r="39" spans="1:22" s="2" customFormat="1" hidden="1" outlineLevel="1" x14ac:dyDescent="0.35">
      <c r="A39" s="8"/>
      <c r="B39" s="9" t="s">
        <v>138</v>
      </c>
      <c r="C39" s="9">
        <v>0.75</v>
      </c>
      <c r="D39" s="9">
        <v>0.5</v>
      </c>
      <c r="E39" s="9">
        <f>0.5*8</f>
        <v>4</v>
      </c>
      <c r="F39" s="10">
        <f t="shared" si="2"/>
        <v>1.5</v>
      </c>
      <c r="G39" s="10"/>
      <c r="H39" s="10"/>
      <c r="I39" s="10"/>
      <c r="J39" s="14"/>
      <c r="K39" s="14"/>
      <c r="L39" s="22"/>
      <c r="M39" s="47"/>
      <c r="N39" s="41"/>
      <c r="O39" s="22"/>
      <c r="P39" s="22"/>
      <c r="Q39" s="45"/>
      <c r="S39" s="50"/>
      <c r="T39" s="50"/>
      <c r="U39" s="50"/>
      <c r="V39" s="50"/>
    </row>
    <row r="40" spans="1:22" s="2" customFormat="1" hidden="1" outlineLevel="1" x14ac:dyDescent="0.35">
      <c r="A40" s="8"/>
      <c r="C40" s="9"/>
      <c r="D40" s="9"/>
      <c r="E40" s="9">
        <v>1</v>
      </c>
      <c r="F40" s="10">
        <f t="shared" si="2"/>
        <v>0</v>
      </c>
      <c r="G40" s="10"/>
      <c r="H40" s="10"/>
      <c r="I40" s="10"/>
      <c r="J40" s="14"/>
      <c r="K40" s="14"/>
      <c r="L40" s="22"/>
      <c r="M40" s="47"/>
      <c r="N40" s="41"/>
      <c r="O40" s="22"/>
      <c r="P40" s="22"/>
      <c r="Q40" s="45"/>
      <c r="S40" s="50"/>
      <c r="T40" s="50"/>
      <c r="U40" s="50"/>
      <c r="V40" s="50"/>
    </row>
    <row r="41" spans="1:22" s="2" customFormat="1" hidden="1" outlineLevel="1" x14ac:dyDescent="0.35">
      <c r="A41" s="8"/>
      <c r="B41" s="9"/>
      <c r="C41" s="9"/>
      <c r="D41" s="9"/>
      <c r="E41" s="9"/>
      <c r="F41" s="10"/>
      <c r="G41" s="10"/>
      <c r="H41" s="10"/>
      <c r="I41" s="10"/>
      <c r="J41" s="14"/>
      <c r="K41" s="14"/>
      <c r="L41" s="22"/>
      <c r="M41" s="47"/>
      <c r="N41" s="41"/>
      <c r="O41" s="22"/>
      <c r="P41" s="22"/>
      <c r="Q41" s="45"/>
      <c r="S41" s="50"/>
      <c r="T41" s="50"/>
      <c r="U41" s="50"/>
      <c r="V41" s="50"/>
    </row>
    <row r="42" spans="1:22" s="2" customFormat="1" hidden="1" outlineLevel="1" x14ac:dyDescent="0.35">
      <c r="A42" s="8"/>
      <c r="B42" s="9"/>
      <c r="C42" s="9"/>
      <c r="D42" s="9"/>
      <c r="E42" s="9"/>
      <c r="F42" s="10">
        <f>SUM(F36:F41)</f>
        <v>191.82187500000001</v>
      </c>
      <c r="G42" s="10"/>
      <c r="H42" s="10"/>
      <c r="I42" s="10"/>
      <c r="J42" s="14"/>
      <c r="K42" s="14"/>
      <c r="L42" s="22"/>
      <c r="M42" s="47"/>
      <c r="N42" s="41"/>
      <c r="O42" s="22"/>
      <c r="P42" s="22"/>
      <c r="Q42" s="45"/>
      <c r="S42" s="50"/>
      <c r="T42" s="50"/>
      <c r="U42" s="50"/>
      <c r="V42" s="50"/>
    </row>
    <row r="43" spans="1:22" collapsed="1" x14ac:dyDescent="0.35">
      <c r="A43" s="6"/>
      <c r="B43" s="56"/>
      <c r="C43" s="56"/>
      <c r="D43" s="56"/>
      <c r="E43" s="56"/>
      <c r="F43" s="6"/>
      <c r="G43" s="6"/>
      <c r="H43" s="6"/>
      <c r="I43" s="6"/>
      <c r="J43" s="14"/>
      <c r="K43" s="14"/>
      <c r="L43" s="21"/>
      <c r="M43" s="46"/>
      <c r="N43" s="40"/>
      <c r="O43" s="21"/>
      <c r="P43" s="21"/>
      <c r="Q43" s="45"/>
      <c r="S43" s="3"/>
      <c r="T43" s="3"/>
      <c r="U43" s="3"/>
      <c r="V43" s="3"/>
    </row>
    <row r="44" spans="1:22" x14ac:dyDescent="0.35">
      <c r="A44" s="6">
        <f>+A35+1</f>
        <v>4</v>
      </c>
      <c r="B44" s="57" t="s">
        <v>145</v>
      </c>
      <c r="C44" s="57"/>
      <c r="D44" s="57"/>
      <c r="E44" s="57"/>
      <c r="F44" s="58">
        <v>7</v>
      </c>
      <c r="G44" s="6" t="s">
        <v>117</v>
      </c>
      <c r="H44" s="6"/>
      <c r="I44" s="6" t="str">
        <f>+$Q$2</f>
        <v>??</v>
      </c>
      <c r="J44" s="14" t="e">
        <f>+F44*H44*I44</f>
        <v>#VALUE!</v>
      </c>
      <c r="K44" s="14">
        <f>150+180+(3.3*170)*3</f>
        <v>2013</v>
      </c>
      <c r="L44" s="21"/>
      <c r="M44" s="46">
        <v>0.05</v>
      </c>
      <c r="N44" s="40">
        <f>+L44*M44</f>
        <v>0</v>
      </c>
      <c r="O44" s="21"/>
      <c r="P44" s="21"/>
      <c r="Q44" s="45">
        <f>+(F44*L44)+(F44*N44)+O44+P44</f>
        <v>0</v>
      </c>
      <c r="S44" s="53" t="e">
        <f>+T44/F44</f>
        <v>#VALUE!</v>
      </c>
      <c r="T44" s="49" t="e">
        <f>+J44+K44+Q44</f>
        <v>#VALUE!</v>
      </c>
      <c r="U44" s="49"/>
      <c r="V44" s="53">
        <f>+F44*H44</f>
        <v>0</v>
      </c>
    </row>
    <row r="45" spans="1:22" s="2" customFormat="1" hidden="1" outlineLevel="1" x14ac:dyDescent="0.35">
      <c r="A45" s="8"/>
      <c r="B45" s="9" t="s">
        <v>144</v>
      </c>
      <c r="C45" s="9">
        <v>2</v>
      </c>
      <c r="D45" s="9">
        <v>0.5</v>
      </c>
      <c r="E45" s="9">
        <f>0.55*4</f>
        <v>2.2000000000000002</v>
      </c>
      <c r="F45" s="10">
        <f>+C45*D45*E45</f>
        <v>2.2000000000000002</v>
      </c>
      <c r="G45" s="10"/>
      <c r="H45" s="10"/>
      <c r="I45" s="10"/>
      <c r="J45" s="14"/>
      <c r="K45" s="14"/>
      <c r="L45" s="22"/>
      <c r="M45" s="47"/>
      <c r="N45" s="41"/>
      <c r="O45" s="22"/>
      <c r="P45" s="22"/>
      <c r="Q45" s="45"/>
      <c r="S45" s="50"/>
      <c r="T45" s="50"/>
      <c r="U45" s="50"/>
      <c r="V45" s="50"/>
    </row>
    <row r="46" spans="1:22" s="2" customFormat="1" hidden="1" outlineLevel="1" x14ac:dyDescent="0.35">
      <c r="A46" s="8"/>
      <c r="B46" s="9" t="s">
        <v>146</v>
      </c>
      <c r="C46" s="9">
        <v>2</v>
      </c>
      <c r="D46" s="9">
        <v>0.5</v>
      </c>
      <c r="E46" s="9">
        <f>0.55*6</f>
        <v>3.3000000000000003</v>
      </c>
      <c r="F46" s="10">
        <f t="shared" ref="F46:F47" si="3">+C46*D46*E46</f>
        <v>3.3000000000000003</v>
      </c>
      <c r="G46" s="10"/>
      <c r="H46" s="10"/>
      <c r="I46" s="10"/>
      <c r="J46" s="14"/>
      <c r="K46" s="14"/>
      <c r="L46" s="22"/>
      <c r="M46" s="47"/>
      <c r="N46" s="41"/>
      <c r="O46" s="22"/>
      <c r="P46" s="22"/>
      <c r="Q46" s="45"/>
      <c r="S46" s="50"/>
      <c r="T46" s="50"/>
      <c r="U46" s="50"/>
      <c r="V46" s="50"/>
    </row>
    <row r="47" spans="1:22" s="2" customFormat="1" hidden="1" outlineLevel="1" x14ac:dyDescent="0.35">
      <c r="A47" s="8"/>
      <c r="B47" s="9" t="s">
        <v>170</v>
      </c>
      <c r="C47" s="9">
        <v>2</v>
      </c>
      <c r="D47" s="9">
        <v>0.22500000000000001</v>
      </c>
      <c r="E47" s="9">
        <f>0.1*10</f>
        <v>1</v>
      </c>
      <c r="F47" s="10">
        <f t="shared" si="3"/>
        <v>0.45</v>
      </c>
      <c r="G47" s="10"/>
      <c r="H47" s="10"/>
      <c r="I47" s="10"/>
      <c r="J47" s="14"/>
      <c r="K47" s="14"/>
      <c r="L47" s="22"/>
      <c r="M47" s="47"/>
      <c r="N47" s="41"/>
      <c r="O47" s="22"/>
      <c r="P47" s="22"/>
      <c r="Q47" s="45"/>
      <c r="S47" s="50"/>
      <c r="T47" s="50"/>
      <c r="U47" s="50"/>
      <c r="V47" s="50"/>
    </row>
    <row r="48" spans="1:22" s="2" customFormat="1" hidden="1" outlineLevel="1" x14ac:dyDescent="0.35">
      <c r="A48" s="8"/>
      <c r="B48" s="9"/>
      <c r="C48" s="9"/>
      <c r="D48" s="9"/>
      <c r="E48" s="9"/>
      <c r="F48" s="10"/>
      <c r="G48" s="10"/>
      <c r="H48" s="10"/>
      <c r="I48" s="10"/>
      <c r="J48" s="14"/>
      <c r="K48" s="14"/>
      <c r="L48" s="22"/>
      <c r="M48" s="47"/>
      <c r="N48" s="41"/>
      <c r="O48" s="22"/>
      <c r="P48" s="22"/>
      <c r="Q48" s="45"/>
      <c r="S48" s="50"/>
      <c r="T48" s="50"/>
      <c r="U48" s="50"/>
      <c r="V48" s="50"/>
    </row>
    <row r="49" spans="1:22" s="2" customFormat="1" hidden="1" outlineLevel="1" x14ac:dyDescent="0.35">
      <c r="A49" s="8"/>
      <c r="B49" s="9"/>
      <c r="C49" s="9"/>
      <c r="D49" s="9"/>
      <c r="E49" s="9"/>
      <c r="F49" s="10"/>
      <c r="G49" s="10"/>
      <c r="H49" s="10"/>
      <c r="I49" s="10"/>
      <c r="J49" s="14"/>
      <c r="K49" s="14"/>
      <c r="L49" s="22"/>
      <c r="M49" s="47"/>
      <c r="N49" s="41"/>
      <c r="O49" s="22"/>
      <c r="P49" s="22"/>
      <c r="Q49" s="45"/>
      <c r="S49" s="50"/>
      <c r="T49" s="50"/>
      <c r="U49" s="50"/>
      <c r="V49" s="50"/>
    </row>
    <row r="50" spans="1:22" s="2" customFormat="1" hidden="1" outlineLevel="1" x14ac:dyDescent="0.35">
      <c r="A50" s="8"/>
      <c r="B50" s="9"/>
      <c r="C50" s="9"/>
      <c r="D50" s="9"/>
      <c r="E50" s="9"/>
      <c r="F50" s="10"/>
      <c r="G50" s="10"/>
      <c r="H50" s="10"/>
      <c r="I50" s="10"/>
      <c r="J50" s="14"/>
      <c r="K50" s="14"/>
      <c r="L50" s="22"/>
      <c r="M50" s="47"/>
      <c r="N50" s="41"/>
      <c r="O50" s="22"/>
      <c r="P50" s="22"/>
      <c r="Q50" s="45"/>
      <c r="S50" s="50"/>
      <c r="T50" s="50"/>
      <c r="U50" s="50"/>
      <c r="V50" s="50"/>
    </row>
    <row r="51" spans="1:22" s="2" customFormat="1" hidden="1" outlineLevel="1" x14ac:dyDescent="0.35">
      <c r="A51" s="8"/>
      <c r="B51" s="9"/>
      <c r="C51" s="9"/>
      <c r="D51" s="9"/>
      <c r="E51" s="9"/>
      <c r="F51" s="10">
        <f t="shared" ref="F51:F53" si="4">+C51*D51*E51</f>
        <v>0</v>
      </c>
      <c r="G51" s="10"/>
      <c r="H51" s="10"/>
      <c r="I51" s="10"/>
      <c r="J51" s="14"/>
      <c r="K51" s="14"/>
      <c r="L51" s="22"/>
      <c r="M51" s="47"/>
      <c r="N51" s="41"/>
      <c r="O51" s="22"/>
      <c r="P51" s="22"/>
      <c r="Q51" s="45"/>
      <c r="S51" s="50"/>
      <c r="T51" s="50"/>
      <c r="U51" s="50"/>
      <c r="V51" s="50"/>
    </row>
    <row r="52" spans="1:22" s="2" customFormat="1" hidden="1" outlineLevel="1" x14ac:dyDescent="0.35">
      <c r="A52" s="8"/>
      <c r="B52" s="9"/>
      <c r="C52" s="9"/>
      <c r="D52" s="9"/>
      <c r="E52" s="9"/>
      <c r="F52" s="10">
        <f t="shared" si="4"/>
        <v>0</v>
      </c>
      <c r="G52" s="10"/>
      <c r="H52" s="10"/>
      <c r="I52" s="10"/>
      <c r="J52" s="14"/>
      <c r="K52" s="14"/>
      <c r="L52" s="22"/>
      <c r="M52" s="47"/>
      <c r="N52" s="41"/>
      <c r="O52" s="22"/>
      <c r="P52" s="22"/>
      <c r="Q52" s="45"/>
      <c r="S52" s="50"/>
      <c r="T52" s="50"/>
      <c r="U52" s="50"/>
      <c r="V52" s="50"/>
    </row>
    <row r="53" spans="1:22" s="2" customFormat="1" hidden="1" outlineLevel="1" x14ac:dyDescent="0.35">
      <c r="A53" s="8"/>
      <c r="C53" s="9"/>
      <c r="D53" s="9"/>
      <c r="E53" s="9">
        <v>1</v>
      </c>
      <c r="F53" s="10">
        <f t="shared" si="4"/>
        <v>0</v>
      </c>
      <c r="G53" s="10"/>
      <c r="H53" s="10"/>
      <c r="I53" s="10"/>
      <c r="J53" s="14"/>
      <c r="K53" s="14"/>
      <c r="L53" s="22"/>
      <c r="M53" s="47"/>
      <c r="N53" s="41"/>
      <c r="O53" s="22"/>
      <c r="P53" s="22"/>
      <c r="Q53" s="45"/>
      <c r="S53" s="50"/>
      <c r="T53" s="50"/>
      <c r="U53" s="50"/>
      <c r="V53" s="50"/>
    </row>
    <row r="54" spans="1:22" s="2" customFormat="1" hidden="1" outlineLevel="1" x14ac:dyDescent="0.35">
      <c r="A54" s="8"/>
      <c r="B54" s="9"/>
      <c r="C54" s="9"/>
      <c r="D54" s="9"/>
      <c r="E54" s="9"/>
      <c r="F54" s="10"/>
      <c r="G54" s="10"/>
      <c r="H54" s="10"/>
      <c r="I54" s="10"/>
      <c r="J54" s="14"/>
      <c r="K54" s="14"/>
      <c r="L54" s="22"/>
      <c r="M54" s="47"/>
      <c r="N54" s="41"/>
      <c r="O54" s="22"/>
      <c r="P54" s="22"/>
      <c r="Q54" s="45"/>
      <c r="S54" s="50"/>
      <c r="T54" s="50"/>
      <c r="U54" s="50"/>
      <c r="V54" s="50"/>
    </row>
    <row r="55" spans="1:22" s="2" customFormat="1" hidden="1" outlineLevel="1" x14ac:dyDescent="0.35">
      <c r="A55" s="8"/>
      <c r="B55" s="9"/>
      <c r="C55" s="9"/>
      <c r="D55" s="9"/>
      <c r="E55" s="9"/>
      <c r="F55" s="10">
        <f>SUM(F45:F54)</f>
        <v>5.95</v>
      </c>
      <c r="G55" s="10"/>
      <c r="H55" s="10"/>
      <c r="I55" s="10"/>
      <c r="J55" s="14"/>
      <c r="K55" s="14"/>
      <c r="L55" s="22"/>
      <c r="M55" s="47"/>
      <c r="N55" s="41"/>
      <c r="O55" s="22"/>
      <c r="P55" s="22"/>
      <c r="Q55" s="45"/>
      <c r="S55" s="50"/>
      <c r="T55" s="50"/>
      <c r="U55" s="50"/>
      <c r="V55" s="50"/>
    </row>
    <row r="56" spans="1:22" collapsed="1" x14ac:dyDescent="0.35">
      <c r="A56" s="6"/>
      <c r="B56" s="56"/>
      <c r="C56" s="56"/>
      <c r="D56" s="56"/>
      <c r="E56" s="56"/>
      <c r="F56" s="6"/>
      <c r="G56" s="6"/>
      <c r="H56" s="6"/>
      <c r="I56" s="6"/>
      <c r="J56" s="14"/>
      <c r="K56" s="14"/>
      <c r="L56" s="21"/>
      <c r="M56" s="46"/>
      <c r="N56" s="40"/>
      <c r="O56" s="21"/>
      <c r="P56" s="21"/>
      <c r="Q56" s="45"/>
      <c r="S56" s="3"/>
      <c r="T56" s="3"/>
      <c r="U56" s="3"/>
      <c r="V56" s="3"/>
    </row>
    <row r="57" spans="1:22" x14ac:dyDescent="0.35">
      <c r="A57" s="6">
        <f>+A44+1</f>
        <v>5</v>
      </c>
      <c r="B57" s="57" t="s">
        <v>122</v>
      </c>
      <c r="C57" s="57"/>
      <c r="D57" s="57"/>
      <c r="E57" s="57"/>
      <c r="F57" s="58">
        <v>669</v>
      </c>
      <c r="G57" s="6" t="s">
        <v>117</v>
      </c>
      <c r="H57" s="6"/>
      <c r="I57" s="6" t="str">
        <f>+$Q$2</f>
        <v>??</v>
      </c>
      <c r="J57" s="14" t="e">
        <f>+F57*H57*I57</f>
        <v>#VALUE!</v>
      </c>
      <c r="K57" s="14">
        <f>+(150*2)+(180*2)+(170*4)+(378*10)+(145*10)</f>
        <v>6570</v>
      </c>
      <c r="L57" s="21"/>
      <c r="M57" s="46">
        <v>0.05</v>
      </c>
      <c r="N57" s="40">
        <f>+L57*M57</f>
        <v>0</v>
      </c>
      <c r="O57" s="21"/>
      <c r="P57" s="21"/>
      <c r="Q57" s="45">
        <f>+(F57*L57)+(F57*N57)+O57+P57</f>
        <v>0</v>
      </c>
      <c r="S57" s="53" t="e">
        <f>+T57/F57</f>
        <v>#VALUE!</v>
      </c>
      <c r="T57" s="49" t="e">
        <f>+J57+K57+Q57</f>
        <v>#VALUE!</v>
      </c>
      <c r="U57" s="49"/>
      <c r="V57" s="53">
        <f>+F57*H57</f>
        <v>0</v>
      </c>
    </row>
    <row r="58" spans="1:22" s="2" customFormat="1" hidden="1" outlineLevel="1" x14ac:dyDescent="0.35">
      <c r="A58" s="8"/>
      <c r="B58" s="9" t="s">
        <v>120</v>
      </c>
      <c r="C58" s="9">
        <v>23.6</v>
      </c>
      <c r="D58" s="9">
        <v>16</v>
      </c>
      <c r="E58" s="9">
        <v>0.125</v>
      </c>
      <c r="F58" s="10">
        <f>+C58*D58*E58</f>
        <v>47.2</v>
      </c>
      <c r="G58" s="10"/>
      <c r="H58" s="10"/>
      <c r="I58" s="10"/>
      <c r="J58" s="14"/>
      <c r="K58" s="14"/>
      <c r="L58" s="22"/>
      <c r="M58" s="47"/>
      <c r="N58" s="41"/>
      <c r="O58" s="22"/>
      <c r="P58" s="22"/>
      <c r="Q58" s="45"/>
      <c r="S58" s="50"/>
      <c r="T58" s="50"/>
      <c r="U58" s="50"/>
      <c r="V58" s="50"/>
    </row>
    <row r="59" spans="1:22" s="2" customFormat="1" hidden="1" outlineLevel="1" x14ac:dyDescent="0.35">
      <c r="A59" s="8"/>
      <c r="B59" s="9"/>
      <c r="C59" s="9"/>
      <c r="D59" s="9"/>
      <c r="E59" s="9">
        <f>0.1*2</f>
        <v>0.2</v>
      </c>
      <c r="F59" s="10">
        <f t="shared" ref="F59:F62" si="5">+C59*D59*E59</f>
        <v>0</v>
      </c>
      <c r="G59" s="10"/>
      <c r="H59" s="10"/>
      <c r="I59" s="10"/>
      <c r="J59" s="14"/>
      <c r="K59" s="14"/>
      <c r="L59" s="22"/>
      <c r="M59" s="47"/>
      <c r="N59" s="41"/>
      <c r="O59" s="22"/>
      <c r="P59" s="22"/>
      <c r="Q59" s="45"/>
      <c r="S59" s="50"/>
      <c r="T59" s="50"/>
      <c r="U59" s="50"/>
      <c r="V59" s="50"/>
    </row>
    <row r="60" spans="1:22" s="2" customFormat="1" hidden="1" outlineLevel="1" x14ac:dyDescent="0.35">
      <c r="A60" s="8"/>
      <c r="B60" s="9"/>
      <c r="C60" s="9"/>
      <c r="D60" s="9"/>
      <c r="E60" s="9">
        <v>0.6</v>
      </c>
      <c r="F60" s="10">
        <f t="shared" si="5"/>
        <v>0</v>
      </c>
      <c r="G60" s="10"/>
      <c r="H60" s="10"/>
      <c r="I60" s="10"/>
      <c r="J60" s="14"/>
      <c r="K60" s="14"/>
      <c r="L60" s="22"/>
      <c r="M60" s="47"/>
      <c r="N60" s="41"/>
      <c r="O60" s="22"/>
      <c r="P60" s="22"/>
      <c r="Q60" s="45"/>
      <c r="S60" s="50"/>
      <c r="T60" s="50"/>
      <c r="U60" s="50"/>
      <c r="V60" s="50"/>
    </row>
    <row r="61" spans="1:22" s="2" customFormat="1" hidden="1" outlineLevel="1" x14ac:dyDescent="0.35">
      <c r="A61" s="8"/>
      <c r="B61" s="9"/>
      <c r="C61" s="9"/>
      <c r="D61" s="9"/>
      <c r="E61" s="9">
        <v>0.6</v>
      </c>
      <c r="F61" s="10">
        <f t="shared" si="5"/>
        <v>0</v>
      </c>
      <c r="G61" s="10"/>
      <c r="H61" s="10"/>
      <c r="I61" s="10"/>
      <c r="J61" s="14"/>
      <c r="K61" s="14"/>
      <c r="L61" s="22"/>
      <c r="M61" s="47"/>
      <c r="N61" s="41"/>
      <c r="O61" s="22"/>
      <c r="P61" s="22"/>
      <c r="Q61" s="45"/>
      <c r="S61" s="50"/>
      <c r="T61" s="50"/>
      <c r="U61" s="50"/>
      <c r="V61" s="50"/>
    </row>
    <row r="62" spans="1:22" s="2" customFormat="1" hidden="1" outlineLevel="1" x14ac:dyDescent="0.35">
      <c r="A62" s="8"/>
      <c r="B62" s="9"/>
      <c r="C62" s="9"/>
      <c r="D62" s="9"/>
      <c r="E62" s="9">
        <v>1</v>
      </c>
      <c r="F62" s="10">
        <f t="shared" si="5"/>
        <v>0</v>
      </c>
      <c r="G62" s="10"/>
      <c r="H62" s="10"/>
      <c r="I62" s="10"/>
      <c r="J62" s="14"/>
      <c r="K62" s="14"/>
      <c r="L62" s="22"/>
      <c r="M62" s="47"/>
      <c r="N62" s="41"/>
      <c r="O62" s="22"/>
      <c r="P62" s="22"/>
      <c r="Q62" s="45"/>
      <c r="S62" s="50"/>
      <c r="T62" s="50"/>
      <c r="U62" s="50"/>
      <c r="V62" s="50"/>
    </row>
    <row r="63" spans="1:22" s="2" customFormat="1" hidden="1" outlineLevel="1" x14ac:dyDescent="0.35">
      <c r="A63" s="8"/>
      <c r="B63" s="9">
        <f>+C58*D58</f>
        <v>377.6</v>
      </c>
      <c r="C63" s="9"/>
      <c r="D63" s="9"/>
      <c r="E63" s="9"/>
      <c r="F63" s="10"/>
      <c r="G63" s="10"/>
      <c r="H63" s="10"/>
      <c r="I63" s="10"/>
      <c r="J63" s="14"/>
      <c r="K63" s="14"/>
      <c r="L63" s="22"/>
      <c r="M63" s="47"/>
      <c r="N63" s="41"/>
      <c r="O63" s="22"/>
      <c r="P63" s="22"/>
      <c r="Q63" s="45"/>
      <c r="S63" s="50"/>
      <c r="T63" s="50"/>
      <c r="U63" s="50"/>
      <c r="V63" s="50"/>
    </row>
    <row r="64" spans="1:22" s="2" customFormat="1" hidden="1" outlineLevel="1" x14ac:dyDescent="0.35">
      <c r="A64" s="8"/>
      <c r="B64" s="9"/>
      <c r="C64" s="9"/>
      <c r="D64" s="9"/>
      <c r="E64" s="9"/>
      <c r="F64" s="10">
        <f>SUM(F58:F63)</f>
        <v>47.2</v>
      </c>
      <c r="G64" s="10"/>
      <c r="H64" s="10"/>
      <c r="I64" s="10"/>
      <c r="J64" s="14"/>
      <c r="K64" s="14"/>
      <c r="L64" s="22"/>
      <c r="M64" s="47"/>
      <c r="N64" s="41"/>
      <c r="O64" s="22"/>
      <c r="P64" s="22"/>
      <c r="Q64" s="45"/>
      <c r="S64" s="50"/>
      <c r="T64" s="50"/>
      <c r="U64" s="50"/>
      <c r="V64" s="50"/>
    </row>
    <row r="65" spans="1:22" collapsed="1" x14ac:dyDescent="0.35">
      <c r="A65" s="6"/>
      <c r="B65" s="56"/>
      <c r="C65" s="56"/>
      <c r="D65" s="56"/>
      <c r="E65" s="56"/>
      <c r="F65" s="6"/>
      <c r="G65" s="6"/>
      <c r="H65" s="6"/>
      <c r="I65" s="6"/>
      <c r="J65" s="14"/>
      <c r="K65" s="14"/>
      <c r="L65" s="21"/>
      <c r="M65" s="46"/>
      <c r="N65" s="40"/>
      <c r="O65" s="21"/>
      <c r="P65" s="21"/>
      <c r="Q65" s="45"/>
      <c r="S65" s="3"/>
      <c r="T65" s="3"/>
      <c r="U65" s="3"/>
      <c r="V65" s="3"/>
    </row>
    <row r="66" spans="1:22" x14ac:dyDescent="0.35">
      <c r="A66" s="6">
        <f>+A57+1</f>
        <v>6</v>
      </c>
      <c r="B66" s="57" t="s">
        <v>131</v>
      </c>
      <c r="C66" s="57"/>
      <c r="D66" s="57"/>
      <c r="E66" s="57"/>
      <c r="F66" s="58">
        <v>177</v>
      </c>
      <c r="G66" s="6" t="s">
        <v>117</v>
      </c>
      <c r="H66" s="6"/>
      <c r="I66" s="6" t="str">
        <f>+$Q$2</f>
        <v>??</v>
      </c>
      <c r="J66" s="14" t="e">
        <f>+F66*H66*I66</f>
        <v>#VALUE!</v>
      </c>
      <c r="K66" s="14">
        <f>+(150*4)+(180*4)+(170*8)+(378*2*10)</f>
        <v>10240</v>
      </c>
      <c r="L66" s="21"/>
      <c r="M66" s="46">
        <v>0.05</v>
      </c>
      <c r="N66" s="40">
        <f>+L66*M66</f>
        <v>0</v>
      </c>
      <c r="O66" s="21"/>
      <c r="P66" s="21"/>
      <c r="Q66" s="45">
        <f>+(F66*L66)+(F66*N66)+O66+P66</f>
        <v>0</v>
      </c>
      <c r="S66" s="53" t="e">
        <f>+T66/F66</f>
        <v>#VALUE!</v>
      </c>
      <c r="T66" s="49" t="e">
        <f>+J66+K66+Q66</f>
        <v>#VALUE!</v>
      </c>
      <c r="U66" s="49"/>
      <c r="V66" s="53">
        <f>+F66*H66</f>
        <v>0</v>
      </c>
    </row>
    <row r="67" spans="1:22" s="2" customFormat="1" hidden="1" outlineLevel="1" x14ac:dyDescent="0.35">
      <c r="A67" s="8"/>
      <c r="B67" s="9" t="s">
        <v>121</v>
      </c>
      <c r="C67" s="9">
        <v>21.5</v>
      </c>
      <c r="D67" s="9">
        <v>16</v>
      </c>
      <c r="E67" s="9">
        <f>0.1*2</f>
        <v>0.2</v>
      </c>
      <c r="F67" s="10">
        <f t="shared" ref="F67:F69" si="6">+C67*D67*E67</f>
        <v>68.8</v>
      </c>
      <c r="G67" s="10"/>
      <c r="H67" s="10"/>
      <c r="I67" s="10"/>
      <c r="J67" s="14"/>
      <c r="K67" s="14"/>
      <c r="L67" s="22"/>
      <c r="M67" s="47"/>
      <c r="N67" s="41"/>
      <c r="O67" s="22"/>
      <c r="P67" s="22"/>
      <c r="Q67" s="45"/>
      <c r="S67" s="50"/>
      <c r="T67" s="50"/>
      <c r="U67" s="50"/>
      <c r="V67" s="50"/>
    </row>
    <row r="68" spans="1:22" s="2" customFormat="1" hidden="1" outlineLevel="1" x14ac:dyDescent="0.35">
      <c r="A68" s="8"/>
      <c r="B68" s="9" t="s">
        <v>147</v>
      </c>
      <c r="C68" s="9">
        <v>21.5</v>
      </c>
      <c r="D68" s="9">
        <v>0.3</v>
      </c>
      <c r="E68" s="9">
        <f>0.1*4</f>
        <v>0.4</v>
      </c>
      <c r="F68" s="10">
        <f t="shared" si="6"/>
        <v>2.58</v>
      </c>
      <c r="G68" s="10"/>
      <c r="H68" s="10"/>
      <c r="I68" s="10"/>
      <c r="J68" s="14"/>
      <c r="K68" s="14"/>
      <c r="L68" s="22"/>
      <c r="M68" s="47"/>
      <c r="N68" s="41"/>
      <c r="O68" s="22"/>
      <c r="P68" s="22"/>
      <c r="Q68" s="45"/>
      <c r="S68" s="50"/>
      <c r="T68" s="50"/>
      <c r="U68" s="50"/>
      <c r="V68" s="50"/>
    </row>
    <row r="69" spans="1:22" s="2" customFormat="1" hidden="1" outlineLevel="1" x14ac:dyDescent="0.35">
      <c r="A69" s="8"/>
      <c r="B69" s="9"/>
      <c r="C69" s="9">
        <v>16</v>
      </c>
      <c r="D69" s="9">
        <v>0.3</v>
      </c>
      <c r="E69" s="9">
        <f>0.1*4</f>
        <v>0.4</v>
      </c>
      <c r="F69" s="10">
        <f t="shared" si="6"/>
        <v>1.92</v>
      </c>
      <c r="G69" s="10"/>
      <c r="H69" s="10"/>
      <c r="I69" s="10"/>
      <c r="J69" s="14"/>
      <c r="K69" s="14"/>
      <c r="L69" s="22"/>
      <c r="M69" s="47"/>
      <c r="N69" s="41"/>
      <c r="O69" s="22"/>
      <c r="P69" s="22"/>
      <c r="Q69" s="45"/>
      <c r="S69" s="50"/>
      <c r="T69" s="50"/>
      <c r="U69" s="50"/>
      <c r="V69" s="50"/>
    </row>
    <row r="70" spans="1:22" s="2" customFormat="1" hidden="1" outlineLevel="1" x14ac:dyDescent="0.35">
      <c r="A70" s="8"/>
      <c r="B70" s="9"/>
      <c r="C70" s="9"/>
      <c r="D70" s="9"/>
      <c r="E70" s="9"/>
      <c r="F70" s="10"/>
      <c r="G70" s="10"/>
      <c r="H70" s="10"/>
      <c r="I70" s="10"/>
      <c r="J70" s="14"/>
      <c r="K70" s="14"/>
      <c r="L70" s="22"/>
      <c r="M70" s="47"/>
      <c r="N70" s="41"/>
      <c r="O70" s="22"/>
      <c r="P70" s="22"/>
      <c r="Q70" s="45"/>
      <c r="S70" s="50"/>
      <c r="T70" s="50"/>
      <c r="U70" s="50"/>
      <c r="V70" s="50"/>
    </row>
    <row r="71" spans="1:22" s="2" customFormat="1" hidden="1" outlineLevel="1" x14ac:dyDescent="0.35">
      <c r="A71" s="8"/>
      <c r="B71" s="9"/>
      <c r="C71" s="9"/>
      <c r="D71" s="9"/>
      <c r="E71" s="9"/>
      <c r="F71" s="10"/>
      <c r="G71" s="10"/>
      <c r="H71" s="10"/>
      <c r="I71" s="10"/>
      <c r="J71" s="14"/>
      <c r="K71" s="14"/>
      <c r="L71" s="22"/>
      <c r="M71" s="47"/>
      <c r="N71" s="41"/>
      <c r="O71" s="22"/>
      <c r="P71" s="22"/>
      <c r="Q71" s="45"/>
      <c r="S71" s="50"/>
      <c r="T71" s="50"/>
      <c r="U71" s="50"/>
      <c r="V71" s="50"/>
    </row>
    <row r="72" spans="1:22" s="2" customFormat="1" hidden="1" outlineLevel="1" x14ac:dyDescent="0.35">
      <c r="A72" s="8"/>
      <c r="B72" s="9"/>
      <c r="C72" s="9"/>
      <c r="D72" s="9"/>
      <c r="E72" s="9"/>
      <c r="F72" s="10"/>
      <c r="G72" s="10"/>
      <c r="H72" s="10"/>
      <c r="I72" s="10"/>
      <c r="J72" s="14"/>
      <c r="K72" s="14"/>
      <c r="L72" s="22"/>
      <c r="M72" s="47"/>
      <c r="N72" s="41"/>
      <c r="O72" s="22"/>
      <c r="P72" s="22"/>
      <c r="Q72" s="45"/>
      <c r="S72" s="50"/>
      <c r="T72" s="50"/>
      <c r="U72" s="50"/>
      <c r="V72" s="50"/>
    </row>
    <row r="73" spans="1:22" s="2" customFormat="1" hidden="1" outlineLevel="1" x14ac:dyDescent="0.35">
      <c r="A73" s="8"/>
      <c r="B73" s="9"/>
      <c r="C73" s="9"/>
      <c r="D73" s="9"/>
      <c r="E73" s="9"/>
      <c r="F73" s="10"/>
      <c r="G73" s="10"/>
      <c r="H73" s="10"/>
      <c r="I73" s="10"/>
      <c r="J73" s="14"/>
      <c r="K73" s="14"/>
      <c r="L73" s="22"/>
      <c r="M73" s="47"/>
      <c r="N73" s="41"/>
      <c r="O73" s="22"/>
      <c r="P73" s="22"/>
      <c r="Q73" s="45"/>
      <c r="S73" s="50"/>
      <c r="T73" s="50"/>
      <c r="U73" s="50"/>
      <c r="V73" s="50"/>
    </row>
    <row r="74" spans="1:22" s="2" customFormat="1" hidden="1" outlineLevel="1" x14ac:dyDescent="0.35">
      <c r="A74" s="8"/>
      <c r="B74" s="9"/>
      <c r="C74" s="9"/>
      <c r="D74" s="9"/>
      <c r="E74" s="9">
        <v>1</v>
      </c>
      <c r="F74" s="10">
        <f t="shared" ref="F74" si="7">+C74*D74*E74</f>
        <v>0</v>
      </c>
      <c r="G74" s="10"/>
      <c r="H74" s="10"/>
      <c r="I74" s="10"/>
      <c r="J74" s="14"/>
      <c r="K74" s="14"/>
      <c r="L74" s="22"/>
      <c r="M74" s="47"/>
      <c r="N74" s="41"/>
      <c r="O74" s="22"/>
      <c r="P74" s="22"/>
      <c r="Q74" s="45"/>
      <c r="S74" s="50"/>
      <c r="T74" s="50"/>
      <c r="U74" s="50"/>
      <c r="V74" s="50"/>
    </row>
    <row r="75" spans="1:22" s="2" customFormat="1" hidden="1" outlineLevel="1" x14ac:dyDescent="0.35">
      <c r="A75" s="8"/>
      <c r="B75" s="9"/>
      <c r="C75" s="9"/>
      <c r="D75" s="9"/>
      <c r="E75" s="9"/>
      <c r="F75" s="10"/>
      <c r="G75" s="10"/>
      <c r="H75" s="10"/>
      <c r="I75" s="10"/>
      <c r="J75" s="14"/>
      <c r="K75" s="14"/>
      <c r="L75" s="22"/>
      <c r="M75" s="47"/>
      <c r="N75" s="41"/>
      <c r="O75" s="22"/>
      <c r="P75" s="22"/>
      <c r="Q75" s="45"/>
      <c r="S75" s="50"/>
      <c r="T75" s="50"/>
      <c r="U75" s="50"/>
      <c r="V75" s="50"/>
    </row>
    <row r="76" spans="1:22" s="2" customFormat="1" hidden="1" outlineLevel="1" x14ac:dyDescent="0.35">
      <c r="A76" s="8"/>
      <c r="B76" s="9"/>
      <c r="C76" s="9"/>
      <c r="D76" s="9"/>
      <c r="E76" s="9"/>
      <c r="F76" s="10">
        <f>SUM(F67:F75)</f>
        <v>73.3</v>
      </c>
      <c r="G76" s="10"/>
      <c r="H76" s="10"/>
      <c r="I76" s="10"/>
      <c r="J76" s="14"/>
      <c r="K76" s="14"/>
      <c r="L76" s="22"/>
      <c r="M76" s="47"/>
      <c r="N76" s="41"/>
      <c r="O76" s="22"/>
      <c r="P76" s="22"/>
      <c r="Q76" s="45"/>
      <c r="S76" s="50"/>
      <c r="T76" s="50"/>
      <c r="U76" s="50"/>
      <c r="V76" s="50"/>
    </row>
    <row r="77" spans="1:22" collapsed="1" x14ac:dyDescent="0.35">
      <c r="A77" s="6"/>
      <c r="B77" s="56"/>
      <c r="C77" s="56"/>
      <c r="D77" s="56"/>
      <c r="E77" s="56"/>
      <c r="F77" s="6"/>
      <c r="G77" s="6"/>
      <c r="H77" s="6"/>
      <c r="I77" s="6"/>
      <c r="J77" s="14"/>
      <c r="K77" s="14"/>
      <c r="L77" s="21"/>
      <c r="M77" s="46"/>
      <c r="N77" s="40"/>
      <c r="O77" s="21"/>
      <c r="P77" s="21"/>
      <c r="Q77" s="45"/>
      <c r="S77" s="3"/>
      <c r="T77" s="3"/>
      <c r="U77" s="3"/>
      <c r="V77" s="3"/>
    </row>
    <row r="78" spans="1:22" x14ac:dyDescent="0.35">
      <c r="A78" s="6">
        <f>+A66+1</f>
        <v>7</v>
      </c>
      <c r="B78" s="57" t="s">
        <v>142</v>
      </c>
      <c r="C78" s="57"/>
      <c r="D78" s="57"/>
      <c r="E78" s="57"/>
      <c r="F78" s="58">
        <f>+ROUNDUP(F85,0)</f>
        <v>2</v>
      </c>
      <c r="G78" s="6" t="s">
        <v>117</v>
      </c>
      <c r="H78" s="6"/>
      <c r="I78" s="6" t="str">
        <f>+$Q$2</f>
        <v>??</v>
      </c>
      <c r="J78" s="14" t="e">
        <f>+F78*H78*I78</f>
        <v>#VALUE!</v>
      </c>
      <c r="K78" s="14">
        <f>(150*3)+(180*3)+(170*6)</f>
        <v>2010</v>
      </c>
      <c r="L78" s="21"/>
      <c r="M78" s="46">
        <v>0.05</v>
      </c>
      <c r="N78" s="40">
        <f>+L78*M78</f>
        <v>0</v>
      </c>
      <c r="O78" s="21"/>
      <c r="P78" s="21"/>
      <c r="Q78" s="45">
        <f>+(F78*L78)+(F78*N78)+O78+P78</f>
        <v>0</v>
      </c>
      <c r="S78" s="53" t="e">
        <f>+T78/F78</f>
        <v>#VALUE!</v>
      </c>
      <c r="T78" s="49" t="e">
        <f>+J78+K78+Q78</f>
        <v>#VALUE!</v>
      </c>
      <c r="U78" s="49"/>
      <c r="V78" s="53">
        <f>+F78*H78</f>
        <v>0</v>
      </c>
    </row>
    <row r="79" spans="1:22" s="2" customFormat="1" hidden="1" outlineLevel="1" x14ac:dyDescent="0.35">
      <c r="A79" s="8"/>
      <c r="B79" s="9"/>
      <c r="C79" s="9"/>
      <c r="D79" s="9"/>
      <c r="E79" s="9"/>
      <c r="F79" s="10">
        <f>+C79*D79*E79</f>
        <v>0</v>
      </c>
      <c r="G79" s="10"/>
      <c r="H79" s="10"/>
      <c r="I79" s="10"/>
      <c r="J79" s="14"/>
      <c r="K79" s="14"/>
      <c r="L79" s="22"/>
      <c r="M79" s="47"/>
      <c r="N79" s="41"/>
      <c r="O79" s="22"/>
      <c r="P79" s="22"/>
      <c r="Q79" s="45"/>
      <c r="S79" s="50"/>
      <c r="T79" s="50"/>
      <c r="U79" s="50"/>
      <c r="V79" s="50"/>
    </row>
    <row r="80" spans="1:22" s="2" customFormat="1" hidden="1" outlineLevel="1" x14ac:dyDescent="0.35">
      <c r="A80" s="8"/>
      <c r="B80" s="9"/>
      <c r="C80" s="9">
        <v>23.5</v>
      </c>
      <c r="D80" s="9">
        <v>0.22500000000000001</v>
      </c>
      <c r="E80" s="9">
        <f>0.1*3</f>
        <v>0.30000000000000004</v>
      </c>
      <c r="F80" s="10">
        <f t="shared" ref="F80:F83" si="8">+C80*D80*E80</f>
        <v>1.5862500000000004</v>
      </c>
      <c r="G80" s="10"/>
      <c r="H80" s="10"/>
      <c r="I80" s="10"/>
      <c r="J80" s="14"/>
      <c r="K80" s="14"/>
      <c r="L80" s="22"/>
      <c r="M80" s="47"/>
      <c r="N80" s="41"/>
      <c r="O80" s="22"/>
      <c r="P80" s="22"/>
      <c r="Q80" s="45"/>
      <c r="S80" s="50"/>
      <c r="T80" s="50"/>
      <c r="U80" s="50"/>
      <c r="V80" s="50"/>
    </row>
    <row r="81" spans="1:22" s="2" customFormat="1" hidden="1" outlineLevel="1" x14ac:dyDescent="0.35">
      <c r="A81" s="8"/>
      <c r="B81" s="9"/>
      <c r="C81" s="9"/>
      <c r="D81" s="9"/>
      <c r="E81" s="9">
        <v>0.6</v>
      </c>
      <c r="F81" s="10">
        <f t="shared" si="8"/>
        <v>0</v>
      </c>
      <c r="G81" s="10"/>
      <c r="H81" s="10"/>
      <c r="I81" s="10"/>
      <c r="J81" s="14"/>
      <c r="K81" s="14"/>
      <c r="L81" s="22"/>
      <c r="M81" s="47"/>
      <c r="N81" s="41"/>
      <c r="O81" s="22"/>
      <c r="P81" s="22"/>
      <c r="Q81" s="45"/>
      <c r="S81" s="50"/>
      <c r="T81" s="50"/>
      <c r="U81" s="50"/>
      <c r="V81" s="50"/>
    </row>
    <row r="82" spans="1:22" s="2" customFormat="1" hidden="1" outlineLevel="1" x14ac:dyDescent="0.35">
      <c r="A82" s="8"/>
      <c r="B82" s="9"/>
      <c r="C82" s="9"/>
      <c r="D82" s="9"/>
      <c r="E82" s="9">
        <v>0.6</v>
      </c>
      <c r="F82" s="10">
        <f t="shared" si="8"/>
        <v>0</v>
      </c>
      <c r="G82" s="10"/>
      <c r="H82" s="10"/>
      <c r="I82" s="10"/>
      <c r="J82" s="14"/>
      <c r="K82" s="14"/>
      <c r="L82" s="22"/>
      <c r="M82" s="47"/>
      <c r="N82" s="41"/>
      <c r="O82" s="22"/>
      <c r="P82" s="22"/>
      <c r="Q82" s="45"/>
      <c r="S82" s="50"/>
      <c r="T82" s="50"/>
      <c r="U82" s="50"/>
      <c r="V82" s="50"/>
    </row>
    <row r="83" spans="1:22" s="2" customFormat="1" hidden="1" outlineLevel="1" x14ac:dyDescent="0.35">
      <c r="A83" s="8"/>
      <c r="B83" s="9"/>
      <c r="C83" s="9"/>
      <c r="D83" s="9"/>
      <c r="E83" s="9">
        <v>1</v>
      </c>
      <c r="F83" s="10">
        <f t="shared" si="8"/>
        <v>0</v>
      </c>
      <c r="G83" s="10"/>
      <c r="H83" s="10"/>
      <c r="I83" s="10"/>
      <c r="J83" s="14"/>
      <c r="K83" s="14"/>
      <c r="L83" s="22"/>
      <c r="M83" s="47"/>
      <c r="N83" s="41"/>
      <c r="O83" s="22"/>
      <c r="P83" s="22"/>
      <c r="Q83" s="45"/>
      <c r="S83" s="50"/>
      <c r="T83" s="50"/>
      <c r="U83" s="50"/>
      <c r="V83" s="50"/>
    </row>
    <row r="84" spans="1:22" s="2" customFormat="1" hidden="1" outlineLevel="1" x14ac:dyDescent="0.35">
      <c r="A84" s="8"/>
      <c r="B84" s="9"/>
      <c r="C84" s="9"/>
      <c r="D84" s="9"/>
      <c r="E84" s="9"/>
      <c r="F84" s="10"/>
      <c r="G84" s="10"/>
      <c r="H84" s="10"/>
      <c r="I84" s="10"/>
      <c r="J84" s="14"/>
      <c r="K84" s="14"/>
      <c r="L84" s="22"/>
      <c r="M84" s="47"/>
      <c r="N84" s="41"/>
      <c r="O84" s="22"/>
      <c r="P84" s="22"/>
      <c r="Q84" s="45"/>
      <c r="S84" s="50"/>
      <c r="T84" s="50"/>
      <c r="U84" s="50"/>
      <c r="V84" s="50"/>
    </row>
    <row r="85" spans="1:22" s="2" customFormat="1" hidden="1" outlineLevel="1" x14ac:dyDescent="0.35">
      <c r="A85" s="8"/>
      <c r="B85" s="9"/>
      <c r="C85" s="9"/>
      <c r="D85" s="9"/>
      <c r="E85" s="9"/>
      <c r="F85" s="10">
        <f>SUM(F79:F84)</f>
        <v>1.5862500000000004</v>
      </c>
      <c r="G85" s="10"/>
      <c r="H85" s="10"/>
      <c r="I85" s="10"/>
      <c r="J85" s="14"/>
      <c r="K85" s="14"/>
      <c r="L85" s="22"/>
      <c r="M85" s="47"/>
      <c r="N85" s="41"/>
      <c r="O85" s="22"/>
      <c r="P85" s="22"/>
      <c r="Q85" s="45"/>
      <c r="S85" s="50"/>
      <c r="T85" s="50"/>
      <c r="U85" s="50"/>
      <c r="V85" s="50"/>
    </row>
    <row r="86" spans="1:22" collapsed="1" x14ac:dyDescent="0.35">
      <c r="A86" s="6"/>
      <c r="B86" s="56"/>
      <c r="C86" s="56"/>
      <c r="D86" s="56"/>
      <c r="E86" s="56"/>
      <c r="F86" s="6"/>
      <c r="G86" s="6"/>
      <c r="H86" s="6"/>
      <c r="I86" s="6"/>
      <c r="J86" s="14"/>
      <c r="K86" s="14"/>
      <c r="L86" s="21"/>
      <c r="M86" s="46"/>
      <c r="N86" s="40"/>
      <c r="O86" s="21"/>
      <c r="P86" s="21"/>
      <c r="Q86" s="45"/>
      <c r="S86" s="3"/>
      <c r="T86" s="3"/>
      <c r="U86" s="3"/>
      <c r="V86" s="3"/>
    </row>
    <row r="87" spans="1:22" x14ac:dyDescent="0.35">
      <c r="A87" s="6"/>
      <c r="B87" s="56"/>
      <c r="C87" s="56"/>
      <c r="D87" s="56"/>
      <c r="E87" s="56"/>
      <c r="F87" s="6"/>
      <c r="G87" s="6"/>
      <c r="H87" s="6"/>
      <c r="I87" s="6"/>
      <c r="J87" s="14"/>
      <c r="K87" s="14"/>
      <c r="L87" s="21"/>
      <c r="M87" s="46"/>
      <c r="N87" s="40"/>
      <c r="O87" s="21"/>
      <c r="P87" s="21"/>
      <c r="Q87" s="45"/>
      <c r="S87" s="3"/>
      <c r="T87" s="3"/>
      <c r="U87" s="3"/>
      <c r="V87" s="3"/>
    </row>
    <row r="88" spans="1:22" x14ac:dyDescent="0.35">
      <c r="A88" s="6"/>
      <c r="B88" s="56"/>
      <c r="C88" s="56"/>
      <c r="D88" s="56"/>
      <c r="E88" s="56"/>
      <c r="F88" s="6"/>
      <c r="G88" s="6"/>
      <c r="H88" s="6"/>
      <c r="I88" s="6"/>
      <c r="J88" s="14"/>
      <c r="K88" s="14"/>
      <c r="L88" s="21"/>
      <c r="M88" s="46"/>
      <c r="N88" s="40"/>
      <c r="O88" s="21"/>
      <c r="P88" s="21"/>
      <c r="Q88" s="45"/>
      <c r="S88" s="3"/>
      <c r="T88" s="3"/>
      <c r="U88" s="3"/>
      <c r="V88" s="3"/>
    </row>
    <row r="89" spans="1:22" x14ac:dyDescent="0.35">
      <c r="A89" s="6"/>
      <c r="B89" s="56"/>
      <c r="C89" s="56"/>
      <c r="D89" s="56"/>
      <c r="E89" s="56"/>
      <c r="F89" s="6"/>
      <c r="G89" s="6"/>
      <c r="H89" s="6"/>
      <c r="I89" s="6"/>
      <c r="J89" s="14"/>
      <c r="K89" s="14"/>
      <c r="L89" s="21"/>
      <c r="M89" s="46"/>
      <c r="N89" s="40"/>
      <c r="O89" s="21"/>
      <c r="P89" s="21"/>
      <c r="Q89" s="45"/>
      <c r="S89" s="3"/>
      <c r="T89" s="3"/>
      <c r="U89" s="3"/>
      <c r="V89" s="3"/>
    </row>
    <row r="90" spans="1:22" x14ac:dyDescent="0.35">
      <c r="A90" s="29"/>
      <c r="B90" s="68" t="s">
        <v>133</v>
      </c>
      <c r="C90" s="55"/>
      <c r="D90" s="55"/>
      <c r="E90" s="55"/>
      <c r="F90" s="29"/>
      <c r="G90" s="29"/>
      <c r="H90" s="29"/>
      <c r="I90" s="29"/>
      <c r="J90" s="42"/>
      <c r="K90" s="42"/>
      <c r="L90" s="30"/>
      <c r="M90" s="38"/>
      <c r="N90" s="39"/>
      <c r="O90" s="30"/>
      <c r="P90" s="30"/>
      <c r="Q90" s="44"/>
      <c r="S90" s="3"/>
      <c r="T90" s="3"/>
      <c r="U90" s="3"/>
      <c r="V90" s="3"/>
    </row>
    <row r="91" spans="1:22" x14ac:dyDescent="0.35">
      <c r="A91" s="6">
        <v>1</v>
      </c>
      <c r="B91" s="57" t="s">
        <v>134</v>
      </c>
      <c r="C91" s="57"/>
      <c r="D91" s="57"/>
      <c r="E91" s="57"/>
      <c r="F91" s="58">
        <f>+ROUNDUP(F103,0)</f>
        <v>64</v>
      </c>
      <c r="G91" s="6" t="s">
        <v>10</v>
      </c>
      <c r="H91" s="6"/>
      <c r="I91" s="6" t="str">
        <f>+$Q$2</f>
        <v>??</v>
      </c>
      <c r="J91" s="14" t="e">
        <f>+F91*H91*I91</f>
        <v>#VALUE!</v>
      </c>
      <c r="K91" s="14"/>
      <c r="L91" s="21"/>
      <c r="M91" s="46">
        <v>0</v>
      </c>
      <c r="N91" s="40">
        <f>+L91*M91</f>
        <v>0</v>
      </c>
      <c r="O91" s="21"/>
      <c r="P91" s="21"/>
      <c r="Q91" s="45">
        <f>+(F91*L91)+(F91*N91)+O91+P91</f>
        <v>0</v>
      </c>
      <c r="S91" s="53" t="e">
        <f>+T91/F91</f>
        <v>#VALUE!</v>
      </c>
      <c r="T91" s="49" t="e">
        <f>+J91+K91+Q91</f>
        <v>#VALUE!</v>
      </c>
      <c r="U91" s="49"/>
      <c r="V91" s="53">
        <f>+F91*H91</f>
        <v>0</v>
      </c>
    </row>
    <row r="92" spans="1:22" s="2" customFormat="1" hidden="1" outlineLevel="1" x14ac:dyDescent="0.35">
      <c r="A92" s="8"/>
      <c r="B92" s="9" t="s">
        <v>123</v>
      </c>
      <c r="C92" s="9">
        <v>3</v>
      </c>
      <c r="D92" s="9">
        <v>4</v>
      </c>
      <c r="E92" s="9">
        <f>0.5*4</f>
        <v>2</v>
      </c>
      <c r="F92" s="10">
        <f>+C92*D92*E92</f>
        <v>24</v>
      </c>
      <c r="G92" s="10"/>
      <c r="H92" s="10"/>
      <c r="I92" s="10"/>
      <c r="J92" s="14"/>
      <c r="K92" s="14"/>
      <c r="L92" s="22"/>
      <c r="M92" s="47"/>
      <c r="N92" s="41"/>
      <c r="O92" s="22"/>
      <c r="P92" s="22"/>
      <c r="Q92" s="45"/>
      <c r="S92" s="50"/>
      <c r="T92" s="50"/>
      <c r="U92" s="50"/>
      <c r="V92" s="50"/>
    </row>
    <row r="93" spans="1:22" s="2" customFormat="1" hidden="1" outlineLevel="1" x14ac:dyDescent="0.35">
      <c r="A93" s="8"/>
      <c r="B93" s="9" t="s">
        <v>124</v>
      </c>
      <c r="C93" s="9">
        <v>2.5</v>
      </c>
      <c r="D93" s="9">
        <v>4</v>
      </c>
      <c r="E93" s="9">
        <f>0.5*3</f>
        <v>1.5</v>
      </c>
      <c r="F93" s="10">
        <f t="shared" ref="F93:F101" si="9">+C93*D93*E93</f>
        <v>15</v>
      </c>
      <c r="G93" s="10"/>
      <c r="H93" s="10"/>
      <c r="I93" s="10"/>
      <c r="J93" s="14"/>
      <c r="K93" s="14"/>
      <c r="L93" s="22"/>
      <c r="M93" s="47"/>
      <c r="N93" s="41"/>
      <c r="O93" s="22"/>
      <c r="P93" s="22"/>
      <c r="Q93" s="45"/>
      <c r="S93" s="50"/>
      <c r="T93" s="50"/>
      <c r="U93" s="50"/>
      <c r="V93" s="50"/>
    </row>
    <row r="94" spans="1:22" s="2" customFormat="1" hidden="1" outlineLevel="1" x14ac:dyDescent="0.35">
      <c r="A94" s="8"/>
      <c r="B94" s="9" t="s">
        <v>125</v>
      </c>
      <c r="C94" s="9">
        <v>2.5</v>
      </c>
      <c r="D94" s="9">
        <v>4</v>
      </c>
      <c r="E94" s="9">
        <f>0.45*2</f>
        <v>0.9</v>
      </c>
      <c r="F94" s="10">
        <f t="shared" si="9"/>
        <v>9</v>
      </c>
      <c r="G94" s="10"/>
      <c r="H94" s="10"/>
      <c r="I94" s="10"/>
      <c r="J94" s="14"/>
      <c r="K94" s="14"/>
      <c r="L94" s="22"/>
      <c r="M94" s="47"/>
      <c r="N94" s="41"/>
      <c r="O94" s="22"/>
      <c r="P94" s="22"/>
      <c r="Q94" s="45"/>
      <c r="S94" s="50"/>
      <c r="T94" s="50"/>
      <c r="U94" s="50"/>
      <c r="V94" s="50"/>
    </row>
    <row r="95" spans="1:22" s="2" customFormat="1" hidden="1" outlineLevel="1" x14ac:dyDescent="0.35">
      <c r="A95" s="8"/>
      <c r="B95" s="9" t="s">
        <v>126</v>
      </c>
      <c r="C95" s="9">
        <v>1.2</v>
      </c>
      <c r="D95" s="9">
        <v>2</v>
      </c>
      <c r="E95" s="9">
        <v>0.5</v>
      </c>
      <c r="F95" s="10">
        <f t="shared" si="9"/>
        <v>1.2</v>
      </c>
      <c r="G95" s="10"/>
      <c r="H95" s="10"/>
      <c r="I95" s="10"/>
      <c r="J95" s="14"/>
      <c r="K95" s="14"/>
      <c r="L95" s="22"/>
      <c r="M95" s="47"/>
      <c r="N95" s="41"/>
      <c r="O95" s="22"/>
      <c r="P95" s="22"/>
      <c r="Q95" s="45"/>
      <c r="S95" s="50"/>
      <c r="T95" s="50"/>
      <c r="U95" s="50"/>
      <c r="V95" s="50"/>
    </row>
    <row r="96" spans="1:22" s="2" customFormat="1" hidden="1" outlineLevel="1" x14ac:dyDescent="0.35">
      <c r="A96" s="8"/>
      <c r="B96" s="9"/>
      <c r="C96" s="9">
        <v>2.7</v>
      </c>
      <c r="D96" s="9">
        <v>2</v>
      </c>
      <c r="E96" s="9">
        <v>0.5</v>
      </c>
      <c r="F96" s="10">
        <f t="shared" si="9"/>
        <v>2.7</v>
      </c>
      <c r="G96" s="10"/>
      <c r="H96" s="10"/>
      <c r="I96" s="10"/>
      <c r="J96" s="14"/>
      <c r="K96" s="14"/>
      <c r="L96" s="22"/>
      <c r="M96" s="47"/>
      <c r="N96" s="41"/>
      <c r="O96" s="22"/>
      <c r="P96" s="22"/>
      <c r="Q96" s="45"/>
      <c r="S96" s="50"/>
      <c r="T96" s="50"/>
      <c r="U96" s="50"/>
      <c r="V96" s="50"/>
    </row>
    <row r="97" spans="1:22" s="2" customFormat="1" hidden="1" outlineLevel="1" x14ac:dyDescent="0.35">
      <c r="A97" s="8"/>
      <c r="B97" s="9" t="s">
        <v>127</v>
      </c>
      <c r="C97" s="9">
        <v>2.1</v>
      </c>
      <c r="D97" s="9">
        <v>1</v>
      </c>
      <c r="E97" s="9">
        <v>0.5</v>
      </c>
      <c r="F97" s="10">
        <f t="shared" si="9"/>
        <v>1.05</v>
      </c>
      <c r="G97" s="10"/>
      <c r="H97" s="10"/>
      <c r="I97" s="10"/>
      <c r="J97" s="14"/>
      <c r="K97" s="14"/>
      <c r="L97" s="22"/>
      <c r="M97" s="47"/>
      <c r="N97" s="41"/>
      <c r="O97" s="22"/>
      <c r="P97" s="22"/>
      <c r="Q97" s="45"/>
      <c r="S97" s="50"/>
      <c r="T97" s="50"/>
      <c r="U97" s="50"/>
      <c r="V97" s="50"/>
    </row>
    <row r="98" spans="1:22" s="2" customFormat="1" hidden="1" outlineLevel="1" x14ac:dyDescent="0.35">
      <c r="A98" s="8"/>
      <c r="B98" s="9"/>
      <c r="C98" s="9">
        <v>3.5</v>
      </c>
      <c r="D98" s="9">
        <v>2</v>
      </c>
      <c r="E98" s="9">
        <v>0.5</v>
      </c>
      <c r="F98" s="10">
        <f t="shared" si="9"/>
        <v>3.5</v>
      </c>
      <c r="G98" s="10"/>
      <c r="H98" s="10"/>
      <c r="I98" s="10"/>
      <c r="J98" s="14"/>
      <c r="K98" s="14"/>
      <c r="L98" s="22"/>
      <c r="M98" s="47"/>
      <c r="N98" s="41"/>
      <c r="O98" s="22"/>
      <c r="P98" s="22"/>
      <c r="Q98" s="45"/>
      <c r="S98" s="50"/>
      <c r="T98" s="50"/>
      <c r="U98" s="50"/>
      <c r="V98" s="50"/>
    </row>
    <row r="99" spans="1:22" s="2" customFormat="1" hidden="1" outlineLevel="1" x14ac:dyDescent="0.35">
      <c r="A99" s="8"/>
      <c r="B99" s="9" t="s">
        <v>128</v>
      </c>
      <c r="C99" s="9">
        <v>1.5</v>
      </c>
      <c r="D99" s="9">
        <v>4</v>
      </c>
      <c r="E99" s="9">
        <v>0.5</v>
      </c>
      <c r="F99" s="10">
        <f t="shared" si="9"/>
        <v>3</v>
      </c>
      <c r="G99" s="10"/>
      <c r="H99" s="10"/>
      <c r="I99" s="10"/>
      <c r="J99" s="14"/>
      <c r="K99" s="14"/>
      <c r="L99" s="22"/>
      <c r="M99" s="47"/>
      <c r="N99" s="41"/>
      <c r="O99" s="22"/>
      <c r="P99" s="22"/>
      <c r="Q99" s="45"/>
      <c r="S99" s="50"/>
      <c r="T99" s="50"/>
      <c r="U99" s="50"/>
      <c r="V99" s="50"/>
    </row>
    <row r="100" spans="1:22" s="2" customFormat="1" hidden="1" outlineLevel="1" x14ac:dyDescent="0.35">
      <c r="A100" s="8"/>
      <c r="B100" s="9" t="s">
        <v>156</v>
      </c>
      <c r="C100" s="9">
        <v>1.5</v>
      </c>
      <c r="D100" s="9">
        <v>0.8</v>
      </c>
      <c r="E100" s="9">
        <v>2</v>
      </c>
      <c r="F100" s="10">
        <f t="shared" si="9"/>
        <v>2.4000000000000004</v>
      </c>
      <c r="G100" s="10"/>
      <c r="H100" s="10"/>
      <c r="I100" s="10"/>
      <c r="J100" s="14"/>
      <c r="K100" s="14"/>
      <c r="L100" s="22"/>
      <c r="M100" s="47"/>
      <c r="N100" s="41"/>
      <c r="O100" s="22"/>
      <c r="P100" s="22"/>
      <c r="Q100" s="45"/>
      <c r="S100" s="50"/>
      <c r="T100" s="50"/>
      <c r="U100" s="50"/>
      <c r="V100" s="50"/>
    </row>
    <row r="101" spans="1:22" s="2" customFormat="1" hidden="1" outlineLevel="1" x14ac:dyDescent="0.35">
      <c r="A101" s="8"/>
      <c r="B101" s="9"/>
      <c r="C101" s="9">
        <v>1.5</v>
      </c>
      <c r="D101" s="9">
        <v>0.5</v>
      </c>
      <c r="E101" s="9">
        <v>2</v>
      </c>
      <c r="F101" s="10">
        <f t="shared" si="9"/>
        <v>1.5</v>
      </c>
      <c r="G101" s="10"/>
      <c r="H101" s="10"/>
      <c r="I101" s="10"/>
      <c r="J101" s="14"/>
      <c r="K101" s="14"/>
      <c r="L101" s="22"/>
      <c r="M101" s="47"/>
      <c r="N101" s="41"/>
      <c r="O101" s="22"/>
      <c r="P101" s="22"/>
      <c r="Q101" s="45"/>
      <c r="S101" s="50"/>
      <c r="T101" s="50"/>
      <c r="U101" s="50"/>
      <c r="V101" s="50"/>
    </row>
    <row r="102" spans="1:22" s="2" customFormat="1" hidden="1" outlineLevel="1" x14ac:dyDescent="0.35">
      <c r="A102" s="8"/>
      <c r="B102" s="9"/>
      <c r="C102" s="9"/>
      <c r="D102" s="9"/>
      <c r="E102" s="9"/>
      <c r="F102" s="10"/>
      <c r="G102" s="10"/>
      <c r="H102" s="10"/>
      <c r="I102" s="10"/>
      <c r="J102" s="14"/>
      <c r="K102" s="14"/>
      <c r="L102" s="22"/>
      <c r="M102" s="47"/>
      <c r="N102" s="41"/>
      <c r="O102" s="22"/>
      <c r="P102" s="22"/>
      <c r="Q102" s="45"/>
      <c r="S102" s="50"/>
      <c r="T102" s="50"/>
      <c r="U102" s="50"/>
      <c r="V102" s="50"/>
    </row>
    <row r="103" spans="1:22" s="2" customFormat="1" hidden="1" outlineLevel="1" x14ac:dyDescent="0.35">
      <c r="A103" s="8"/>
      <c r="B103" s="9"/>
      <c r="C103" s="9"/>
      <c r="D103" s="9"/>
      <c r="E103" s="9"/>
      <c r="F103" s="10">
        <f>SUM(F92:F102)</f>
        <v>63.35</v>
      </c>
      <c r="G103" s="10"/>
      <c r="H103" s="10"/>
      <c r="I103" s="10"/>
      <c r="J103" s="14"/>
      <c r="K103" s="14"/>
      <c r="L103" s="22"/>
      <c r="M103" s="47"/>
      <c r="N103" s="41"/>
      <c r="O103" s="22"/>
      <c r="P103" s="22"/>
      <c r="Q103" s="45"/>
      <c r="S103" s="50"/>
      <c r="T103" s="50"/>
      <c r="U103" s="50"/>
      <c r="V103" s="50"/>
    </row>
    <row r="104" spans="1:22" collapsed="1" x14ac:dyDescent="0.35">
      <c r="A104" s="6"/>
      <c r="B104" s="56"/>
      <c r="C104" s="56"/>
      <c r="D104" s="56"/>
      <c r="E104" s="56"/>
      <c r="F104" s="6"/>
      <c r="G104" s="6"/>
      <c r="H104" s="6"/>
      <c r="I104" s="6"/>
      <c r="J104" s="14"/>
      <c r="K104" s="14"/>
      <c r="L104" s="21"/>
      <c r="M104" s="46"/>
      <c r="N104" s="40"/>
      <c r="O104" s="21"/>
      <c r="P104" s="21"/>
      <c r="Q104" s="45"/>
      <c r="S104" s="3"/>
      <c r="T104" s="3"/>
      <c r="U104" s="3"/>
      <c r="V104" s="3"/>
    </row>
    <row r="105" spans="1:22" x14ac:dyDescent="0.35">
      <c r="A105" s="6">
        <f>+A91+1</f>
        <v>2</v>
      </c>
      <c r="B105" s="57" t="s">
        <v>135</v>
      </c>
      <c r="C105" s="57"/>
      <c r="D105" s="57"/>
      <c r="E105" s="57"/>
      <c r="F105" s="58">
        <f>+ROUNDUP(F114,0)</f>
        <v>55</v>
      </c>
      <c r="G105" s="6" t="s">
        <v>10</v>
      </c>
      <c r="H105" s="6"/>
      <c r="I105" s="6" t="str">
        <f>+$Q$2</f>
        <v>??</v>
      </c>
      <c r="J105" s="14" t="e">
        <f>+F105*H105*I105</f>
        <v>#VALUE!</v>
      </c>
      <c r="K105" s="14"/>
      <c r="L105" s="21"/>
      <c r="M105" s="46">
        <v>0</v>
      </c>
      <c r="N105" s="40">
        <f>+L105*M105</f>
        <v>0</v>
      </c>
      <c r="O105" s="21"/>
      <c r="P105" s="21"/>
      <c r="Q105" s="45">
        <f>+(F105*L105)+(F105*N105)+O105+P105</f>
        <v>0</v>
      </c>
      <c r="S105" s="53" t="e">
        <f>+T105/F105</f>
        <v>#VALUE!</v>
      </c>
      <c r="T105" s="49" t="e">
        <f>+J105+K105+Q105</f>
        <v>#VALUE!</v>
      </c>
      <c r="U105" s="49"/>
      <c r="V105" s="53">
        <f>+F105*H105</f>
        <v>0</v>
      </c>
    </row>
    <row r="106" spans="1:22" s="2" customFormat="1" hidden="1" outlineLevel="1" x14ac:dyDescent="0.35">
      <c r="A106" s="8"/>
      <c r="B106" s="9" t="s">
        <v>37</v>
      </c>
      <c r="C106" s="9">
        <v>21.5</v>
      </c>
      <c r="D106" s="9">
        <v>1</v>
      </c>
      <c r="E106" s="9">
        <v>0.5</v>
      </c>
      <c r="F106" s="10">
        <f>+C106*D106*E106</f>
        <v>10.75</v>
      </c>
      <c r="G106" s="10"/>
      <c r="H106" s="10"/>
      <c r="I106" s="10"/>
      <c r="J106" s="14"/>
      <c r="K106" s="14"/>
      <c r="L106" s="22"/>
      <c r="M106" s="47"/>
      <c r="N106" s="41"/>
      <c r="O106" s="22"/>
      <c r="P106" s="22"/>
      <c r="Q106" s="45"/>
      <c r="S106" s="50"/>
      <c r="T106" s="50"/>
      <c r="U106" s="50"/>
      <c r="V106" s="50"/>
    </row>
    <row r="107" spans="1:22" s="2" customFormat="1" hidden="1" outlineLevel="1" x14ac:dyDescent="0.35">
      <c r="A107" s="8"/>
      <c r="B107" s="9" t="s">
        <v>107</v>
      </c>
      <c r="C107" s="9">
        <v>21.5</v>
      </c>
      <c r="D107" s="9">
        <v>1</v>
      </c>
      <c r="E107" s="9">
        <v>0.5</v>
      </c>
      <c r="F107" s="10">
        <f t="shared" ref="F107:F112" si="10">+C107*D107*E107</f>
        <v>10.75</v>
      </c>
      <c r="G107" s="10"/>
      <c r="H107" s="10"/>
      <c r="I107" s="10"/>
      <c r="J107" s="14"/>
      <c r="K107" s="14"/>
      <c r="L107" s="22"/>
      <c r="M107" s="47"/>
      <c r="N107" s="41"/>
      <c r="O107" s="22"/>
      <c r="P107" s="22"/>
      <c r="Q107" s="45"/>
      <c r="S107" s="50"/>
      <c r="T107" s="50"/>
      <c r="U107" s="50"/>
      <c r="V107" s="50"/>
    </row>
    <row r="108" spans="1:22" s="2" customFormat="1" hidden="1" outlineLevel="1" x14ac:dyDescent="0.35">
      <c r="A108" s="8"/>
      <c r="B108" s="9" t="s">
        <v>87</v>
      </c>
      <c r="C108" s="9">
        <v>16.5</v>
      </c>
      <c r="D108" s="9">
        <v>1</v>
      </c>
      <c r="E108" s="9">
        <v>0.5</v>
      </c>
      <c r="F108" s="10">
        <f t="shared" si="10"/>
        <v>8.25</v>
      </c>
      <c r="G108" s="10"/>
      <c r="H108" s="10"/>
      <c r="I108" s="10"/>
      <c r="J108" s="14"/>
      <c r="K108" s="14"/>
      <c r="L108" s="22"/>
      <c r="M108" s="47"/>
      <c r="N108" s="41"/>
      <c r="O108" s="22"/>
      <c r="P108" s="22"/>
      <c r="Q108" s="45"/>
      <c r="S108" s="50"/>
      <c r="T108" s="50"/>
      <c r="U108" s="50"/>
      <c r="V108" s="50"/>
    </row>
    <row r="109" spans="1:22" s="2" customFormat="1" hidden="1" outlineLevel="1" x14ac:dyDescent="0.35">
      <c r="A109" s="8"/>
      <c r="B109" s="9" t="s">
        <v>91</v>
      </c>
      <c r="C109" s="9">
        <v>16.5</v>
      </c>
      <c r="D109" s="9">
        <v>1</v>
      </c>
      <c r="E109" s="9">
        <v>0.5</v>
      </c>
      <c r="F109" s="10">
        <f t="shared" si="10"/>
        <v>8.25</v>
      </c>
      <c r="G109" s="10"/>
      <c r="H109" s="10"/>
      <c r="I109" s="10"/>
      <c r="J109" s="14"/>
      <c r="K109" s="14"/>
      <c r="L109" s="22"/>
      <c r="M109" s="47"/>
      <c r="N109" s="41"/>
      <c r="O109" s="22"/>
      <c r="P109" s="22"/>
      <c r="Q109" s="45"/>
      <c r="S109" s="50"/>
      <c r="T109" s="50"/>
      <c r="U109" s="50"/>
      <c r="V109" s="50"/>
    </row>
    <row r="110" spans="1:22" s="2" customFormat="1" hidden="1" outlineLevel="1" x14ac:dyDescent="0.35">
      <c r="A110" s="8"/>
      <c r="B110" s="9" t="s">
        <v>129</v>
      </c>
      <c r="C110" s="9">
        <v>22.5</v>
      </c>
      <c r="D110" s="9">
        <v>0.25</v>
      </c>
      <c r="E110" s="9">
        <v>1</v>
      </c>
      <c r="F110" s="10">
        <f t="shared" si="10"/>
        <v>5.625</v>
      </c>
      <c r="G110" s="10"/>
      <c r="H110" s="10"/>
      <c r="I110" s="10"/>
      <c r="J110" s="14"/>
      <c r="K110" s="14"/>
      <c r="L110" s="22"/>
      <c r="M110" s="47"/>
      <c r="N110" s="41"/>
      <c r="O110" s="22"/>
      <c r="P110" s="22"/>
      <c r="Q110" s="45"/>
      <c r="S110" s="50"/>
      <c r="T110" s="50"/>
      <c r="U110" s="50"/>
      <c r="V110" s="50"/>
    </row>
    <row r="111" spans="1:22" s="2" customFormat="1" hidden="1" outlineLevel="1" x14ac:dyDescent="0.35">
      <c r="A111" s="8"/>
      <c r="B111" s="9" t="s">
        <v>130</v>
      </c>
      <c r="C111" s="9">
        <v>16</v>
      </c>
      <c r="D111" s="9">
        <v>1</v>
      </c>
      <c r="E111" s="9">
        <f>0.2*2</f>
        <v>0.4</v>
      </c>
      <c r="F111" s="10">
        <f t="shared" si="10"/>
        <v>6.4</v>
      </c>
      <c r="G111" s="10"/>
      <c r="H111" s="10"/>
      <c r="I111" s="10"/>
      <c r="J111" s="14"/>
      <c r="K111" s="14"/>
      <c r="L111" s="22"/>
      <c r="M111" s="47"/>
      <c r="N111" s="41"/>
      <c r="O111" s="22"/>
      <c r="P111" s="22"/>
      <c r="Q111" s="45"/>
      <c r="S111" s="50"/>
      <c r="T111" s="50"/>
      <c r="U111" s="50"/>
      <c r="V111" s="50"/>
    </row>
    <row r="112" spans="1:22" s="2" customFormat="1" hidden="1" outlineLevel="1" x14ac:dyDescent="0.35">
      <c r="A112" s="8"/>
      <c r="B112" s="9"/>
      <c r="C112" s="9">
        <v>21.5</v>
      </c>
      <c r="D112" s="9">
        <v>1</v>
      </c>
      <c r="E112" s="9">
        <v>0.2</v>
      </c>
      <c r="F112" s="10">
        <f t="shared" si="10"/>
        <v>4.3</v>
      </c>
      <c r="G112" s="10"/>
      <c r="H112" s="10"/>
      <c r="I112" s="10"/>
      <c r="J112" s="14"/>
      <c r="K112" s="14"/>
      <c r="L112" s="22"/>
      <c r="M112" s="47"/>
      <c r="N112" s="41"/>
      <c r="O112" s="22"/>
      <c r="P112" s="22"/>
      <c r="Q112" s="45"/>
      <c r="S112" s="50"/>
      <c r="T112" s="50"/>
      <c r="U112" s="50"/>
      <c r="V112" s="50"/>
    </row>
    <row r="113" spans="1:22" s="2" customFormat="1" hidden="1" outlineLevel="1" x14ac:dyDescent="0.35">
      <c r="A113" s="8"/>
      <c r="B113" s="9"/>
      <c r="C113" s="9"/>
      <c r="D113" s="9"/>
      <c r="E113" s="9"/>
      <c r="F113" s="10"/>
      <c r="G113" s="10"/>
      <c r="H113" s="10"/>
      <c r="I113" s="10"/>
      <c r="J113" s="14"/>
      <c r="K113" s="14"/>
      <c r="L113" s="22"/>
      <c r="M113" s="47"/>
      <c r="N113" s="41"/>
      <c r="O113" s="22"/>
      <c r="P113" s="22"/>
      <c r="Q113" s="45"/>
      <c r="S113" s="50"/>
      <c r="T113" s="50"/>
      <c r="U113" s="50"/>
      <c r="V113" s="50"/>
    </row>
    <row r="114" spans="1:22" s="2" customFormat="1" hidden="1" outlineLevel="1" x14ac:dyDescent="0.35">
      <c r="A114" s="8"/>
      <c r="B114" s="9"/>
      <c r="C114" s="9"/>
      <c r="D114" s="9"/>
      <c r="E114" s="9"/>
      <c r="F114" s="10">
        <f>SUM(F106:F113)</f>
        <v>54.324999999999996</v>
      </c>
      <c r="G114" s="10"/>
      <c r="H114" s="10"/>
      <c r="I114" s="10"/>
      <c r="J114" s="14"/>
      <c r="K114" s="14"/>
      <c r="L114" s="22"/>
      <c r="M114" s="47"/>
      <c r="N114" s="41"/>
      <c r="O114" s="22"/>
      <c r="P114" s="22"/>
      <c r="Q114" s="45"/>
      <c r="S114" s="50"/>
      <c r="T114" s="50"/>
      <c r="U114" s="50"/>
      <c r="V114" s="50"/>
    </row>
    <row r="115" spans="1:22" collapsed="1" x14ac:dyDescent="0.35">
      <c r="A115" s="6"/>
      <c r="B115" s="56"/>
      <c r="C115" s="56"/>
      <c r="D115" s="56"/>
      <c r="E115" s="56"/>
      <c r="F115" s="6"/>
      <c r="G115" s="6"/>
      <c r="H115" s="6"/>
      <c r="I115" s="6"/>
      <c r="J115" s="14"/>
      <c r="K115" s="14"/>
      <c r="L115" s="21"/>
      <c r="M115" s="46"/>
      <c r="N115" s="40"/>
      <c r="O115" s="21"/>
      <c r="P115" s="21"/>
      <c r="Q115" s="45"/>
      <c r="S115" s="3"/>
      <c r="T115" s="3"/>
      <c r="U115" s="3"/>
      <c r="V115" s="3"/>
    </row>
    <row r="116" spans="1:22" x14ac:dyDescent="0.35">
      <c r="A116" s="6">
        <f>+A105+1</f>
        <v>3</v>
      </c>
      <c r="B116" s="57" t="s">
        <v>137</v>
      </c>
      <c r="C116" s="57"/>
      <c r="D116" s="57"/>
      <c r="E116" s="57"/>
      <c r="F116" s="58">
        <f>+ROUNDUP(F127,0)</f>
        <v>189</v>
      </c>
      <c r="G116" s="6" t="s">
        <v>10</v>
      </c>
      <c r="H116" s="6"/>
      <c r="I116" s="6" t="str">
        <f>+$Q$2</f>
        <v>??</v>
      </c>
      <c r="J116" s="14" t="e">
        <f>+F116*H116*I116</f>
        <v>#VALUE!</v>
      </c>
      <c r="K116" s="14"/>
      <c r="L116" s="21"/>
      <c r="M116" s="46">
        <v>0</v>
      </c>
      <c r="N116" s="40">
        <f>+L116*M116</f>
        <v>0</v>
      </c>
      <c r="O116" s="21"/>
      <c r="P116" s="21"/>
      <c r="Q116" s="45">
        <f>+(F116*L116)+(F116*N116)+O116+P116</f>
        <v>0</v>
      </c>
      <c r="S116" s="53" t="e">
        <f>+T116/F116</f>
        <v>#VALUE!</v>
      </c>
      <c r="T116" s="49" t="e">
        <f>+J116+K116+Q116</f>
        <v>#VALUE!</v>
      </c>
      <c r="U116" s="49"/>
      <c r="V116" s="53">
        <f>+F116*H116</f>
        <v>0</v>
      </c>
    </row>
    <row r="117" spans="1:22" s="2" customFormat="1" hidden="1" outlineLevel="1" x14ac:dyDescent="0.35">
      <c r="A117" s="8"/>
      <c r="B117" s="9" t="s">
        <v>139</v>
      </c>
      <c r="C117" s="9">
        <v>3</v>
      </c>
      <c r="D117" s="9">
        <v>2</v>
      </c>
      <c r="E117" s="9">
        <v>25</v>
      </c>
      <c r="F117" s="10">
        <f>+C117*D117*E117</f>
        <v>150</v>
      </c>
      <c r="G117" s="10"/>
      <c r="H117" s="10"/>
      <c r="I117" s="10"/>
      <c r="J117" s="14"/>
      <c r="K117" s="14"/>
      <c r="L117" s="22"/>
      <c r="M117" s="47"/>
      <c r="N117" s="41"/>
      <c r="O117" s="22"/>
      <c r="P117" s="22"/>
      <c r="Q117" s="45"/>
      <c r="S117" s="50"/>
      <c r="T117" s="50"/>
      <c r="U117" s="50"/>
      <c r="V117" s="50"/>
    </row>
    <row r="118" spans="1:22" s="2" customFormat="1" hidden="1" outlineLevel="1" x14ac:dyDescent="0.35">
      <c r="A118" s="8"/>
      <c r="B118" s="9" t="s">
        <v>140</v>
      </c>
      <c r="C118" s="9">
        <v>3</v>
      </c>
      <c r="D118" s="9">
        <v>1.8</v>
      </c>
      <c r="E118" s="9">
        <v>4</v>
      </c>
      <c r="F118" s="10">
        <f t="shared" ref="F118:F120" si="11">+C118*D118*E118</f>
        <v>21.6</v>
      </c>
      <c r="G118" s="10"/>
      <c r="H118" s="10"/>
      <c r="I118" s="10"/>
      <c r="J118" s="14"/>
      <c r="K118" s="14"/>
      <c r="L118" s="22"/>
      <c r="M118" s="47"/>
      <c r="N118" s="41"/>
      <c r="O118" s="22"/>
      <c r="P118" s="22"/>
      <c r="Q118" s="45"/>
      <c r="S118" s="50"/>
      <c r="T118" s="50"/>
      <c r="U118" s="50"/>
      <c r="V118" s="50"/>
    </row>
    <row r="119" spans="1:22" s="2" customFormat="1" hidden="1" outlineLevel="1" x14ac:dyDescent="0.35">
      <c r="A119" s="8"/>
      <c r="B119" s="9" t="s">
        <v>141</v>
      </c>
      <c r="C119" s="9">
        <v>3</v>
      </c>
      <c r="D119" s="9">
        <f>0.375*4</f>
        <v>1.5</v>
      </c>
      <c r="E119" s="9">
        <v>1</v>
      </c>
      <c r="F119" s="10">
        <f t="shared" si="11"/>
        <v>4.5</v>
      </c>
      <c r="G119" s="10"/>
      <c r="H119" s="10"/>
      <c r="I119" s="10"/>
      <c r="J119" s="14"/>
      <c r="K119" s="14"/>
      <c r="L119" s="22"/>
      <c r="M119" s="47"/>
      <c r="N119" s="41"/>
      <c r="O119" s="22"/>
      <c r="P119" s="22"/>
      <c r="Q119" s="45"/>
      <c r="S119" s="50"/>
      <c r="T119" s="50"/>
      <c r="U119" s="50"/>
      <c r="V119" s="50"/>
    </row>
    <row r="120" spans="1:22" s="2" customFormat="1" hidden="1" outlineLevel="1" x14ac:dyDescent="0.35">
      <c r="A120" s="8"/>
      <c r="B120" s="9" t="s">
        <v>138</v>
      </c>
      <c r="C120" s="9">
        <v>0.75</v>
      </c>
      <c r="D120" s="9">
        <v>2</v>
      </c>
      <c r="E120" s="9">
        <v>8</v>
      </c>
      <c r="F120" s="10">
        <f t="shared" si="11"/>
        <v>12</v>
      </c>
      <c r="G120" s="10"/>
      <c r="H120" s="10"/>
      <c r="I120" s="10"/>
      <c r="J120" s="14"/>
      <c r="K120" s="14"/>
      <c r="L120" s="22"/>
      <c r="M120" s="47"/>
      <c r="N120" s="41"/>
      <c r="O120" s="22"/>
      <c r="P120" s="22"/>
      <c r="Q120" s="45"/>
      <c r="S120" s="50"/>
      <c r="T120" s="50"/>
      <c r="U120" s="50"/>
      <c r="V120" s="50"/>
    </row>
    <row r="121" spans="1:22" s="2" customFormat="1" hidden="1" outlineLevel="1" x14ac:dyDescent="0.35">
      <c r="A121" s="8"/>
      <c r="B121" s="9"/>
      <c r="C121" s="9"/>
      <c r="D121" s="9"/>
      <c r="E121" s="9"/>
      <c r="F121" s="10"/>
      <c r="G121" s="10"/>
      <c r="H121" s="10"/>
      <c r="I121" s="10"/>
      <c r="J121" s="14"/>
      <c r="K121" s="14"/>
      <c r="L121" s="22"/>
      <c r="M121" s="47"/>
      <c r="N121" s="41"/>
      <c r="O121" s="22"/>
      <c r="P121" s="22"/>
      <c r="Q121" s="45"/>
      <c r="S121" s="50"/>
      <c r="T121" s="50"/>
      <c r="U121" s="50"/>
      <c r="V121" s="50"/>
    </row>
    <row r="122" spans="1:22" s="2" customFormat="1" hidden="1" outlineLevel="1" x14ac:dyDescent="0.35">
      <c r="A122" s="8"/>
      <c r="B122" s="9"/>
      <c r="C122" s="9"/>
      <c r="D122" s="9"/>
      <c r="E122" s="9"/>
      <c r="F122" s="10"/>
      <c r="G122" s="10"/>
      <c r="H122" s="10"/>
      <c r="I122" s="10"/>
      <c r="J122" s="14"/>
      <c r="K122" s="14"/>
      <c r="L122" s="22"/>
      <c r="M122" s="47"/>
      <c r="N122" s="41"/>
      <c r="O122" s="22"/>
      <c r="P122" s="22"/>
      <c r="Q122" s="45"/>
      <c r="S122" s="50"/>
      <c r="T122" s="50"/>
      <c r="U122" s="50"/>
      <c r="V122" s="50"/>
    </row>
    <row r="123" spans="1:22" s="2" customFormat="1" hidden="1" outlineLevel="1" x14ac:dyDescent="0.35">
      <c r="A123" s="8"/>
      <c r="B123" s="9"/>
      <c r="C123" s="9"/>
      <c r="D123" s="9"/>
      <c r="E123" s="9">
        <v>0.6</v>
      </c>
      <c r="F123" s="10">
        <f t="shared" ref="F123:F125" si="12">+C123*D123*E123</f>
        <v>0</v>
      </c>
      <c r="G123" s="10"/>
      <c r="H123" s="10"/>
      <c r="I123" s="10"/>
      <c r="J123" s="14"/>
      <c r="K123" s="14"/>
      <c r="L123" s="22"/>
      <c r="M123" s="47"/>
      <c r="N123" s="41"/>
      <c r="O123" s="22"/>
      <c r="P123" s="22"/>
      <c r="Q123" s="45"/>
      <c r="S123" s="50"/>
      <c r="T123" s="50"/>
      <c r="U123" s="50"/>
      <c r="V123" s="50"/>
    </row>
    <row r="124" spans="1:22" s="2" customFormat="1" hidden="1" outlineLevel="1" x14ac:dyDescent="0.35">
      <c r="A124" s="8"/>
      <c r="B124" s="9"/>
      <c r="C124" s="9"/>
      <c r="D124" s="9"/>
      <c r="E124" s="9">
        <v>0.6</v>
      </c>
      <c r="F124" s="10">
        <f t="shared" si="12"/>
        <v>0</v>
      </c>
      <c r="G124" s="10"/>
      <c r="H124" s="10"/>
      <c r="I124" s="10"/>
      <c r="J124" s="14"/>
      <c r="K124" s="14"/>
      <c r="L124" s="22"/>
      <c r="M124" s="47"/>
      <c r="N124" s="41"/>
      <c r="O124" s="22"/>
      <c r="P124" s="22"/>
      <c r="Q124" s="45"/>
      <c r="S124" s="50"/>
      <c r="T124" s="50"/>
      <c r="U124" s="50"/>
      <c r="V124" s="50"/>
    </row>
    <row r="125" spans="1:22" s="2" customFormat="1" hidden="1" outlineLevel="1" x14ac:dyDescent="0.35">
      <c r="A125" s="8"/>
      <c r="B125" s="9"/>
      <c r="C125" s="9"/>
      <c r="D125" s="9"/>
      <c r="E125" s="9">
        <v>1</v>
      </c>
      <c r="F125" s="10">
        <f t="shared" si="12"/>
        <v>0</v>
      </c>
      <c r="G125" s="10"/>
      <c r="H125" s="10"/>
      <c r="I125" s="10"/>
      <c r="J125" s="14"/>
      <c r="K125" s="14"/>
      <c r="L125" s="22"/>
      <c r="M125" s="47"/>
      <c r="N125" s="41"/>
      <c r="O125" s="22"/>
      <c r="P125" s="22"/>
      <c r="Q125" s="45"/>
      <c r="S125" s="50"/>
      <c r="T125" s="50"/>
      <c r="U125" s="50"/>
      <c r="V125" s="50"/>
    </row>
    <row r="126" spans="1:22" s="2" customFormat="1" hidden="1" outlineLevel="1" x14ac:dyDescent="0.35">
      <c r="A126" s="8"/>
      <c r="B126" s="9"/>
      <c r="C126" s="9"/>
      <c r="D126" s="9"/>
      <c r="E126" s="9"/>
      <c r="F126" s="10"/>
      <c r="G126" s="10"/>
      <c r="H126" s="10"/>
      <c r="I126" s="10"/>
      <c r="J126" s="14"/>
      <c r="K126" s="14"/>
      <c r="L126" s="22"/>
      <c r="M126" s="47"/>
      <c r="N126" s="41"/>
      <c r="O126" s="22"/>
      <c r="P126" s="22"/>
      <c r="Q126" s="45"/>
      <c r="S126" s="50"/>
      <c r="T126" s="50"/>
      <c r="U126" s="50"/>
      <c r="V126" s="50"/>
    </row>
    <row r="127" spans="1:22" s="2" customFormat="1" hidden="1" outlineLevel="1" x14ac:dyDescent="0.35">
      <c r="A127" s="8"/>
      <c r="B127" s="9"/>
      <c r="C127" s="9"/>
      <c r="D127" s="9"/>
      <c r="E127" s="9"/>
      <c r="F127" s="10">
        <f>SUM(F117:F126)</f>
        <v>188.1</v>
      </c>
      <c r="G127" s="10"/>
      <c r="H127" s="10"/>
      <c r="I127" s="10"/>
      <c r="J127" s="14"/>
      <c r="K127" s="14"/>
      <c r="L127" s="22"/>
      <c r="M127" s="47"/>
      <c r="N127" s="41"/>
      <c r="O127" s="22"/>
      <c r="P127" s="22"/>
      <c r="Q127" s="45"/>
      <c r="S127" s="50"/>
      <c r="T127" s="50"/>
      <c r="U127" s="50"/>
      <c r="V127" s="50"/>
    </row>
    <row r="128" spans="1:22" collapsed="1" x14ac:dyDescent="0.35">
      <c r="A128" s="6"/>
      <c r="B128" s="56"/>
      <c r="C128" s="56"/>
      <c r="D128" s="56"/>
      <c r="E128" s="56"/>
      <c r="F128" s="6"/>
      <c r="G128" s="6"/>
      <c r="H128" s="6"/>
      <c r="I128" s="6"/>
      <c r="J128" s="14"/>
      <c r="K128" s="14"/>
      <c r="L128" s="21"/>
      <c r="M128" s="46"/>
      <c r="N128" s="40"/>
      <c r="O128" s="21"/>
      <c r="P128" s="21"/>
      <c r="Q128" s="45"/>
      <c r="S128" s="3"/>
      <c r="T128" s="3"/>
      <c r="U128" s="3"/>
      <c r="V128" s="3"/>
    </row>
    <row r="129" spans="1:22" x14ac:dyDescent="0.35">
      <c r="A129" s="6">
        <f>+A116+1</f>
        <v>4</v>
      </c>
      <c r="B129" s="57" t="s">
        <v>150</v>
      </c>
      <c r="C129" s="57"/>
      <c r="D129" s="57"/>
      <c r="E129" s="57"/>
      <c r="F129" s="58">
        <f>+ROUNDUP(F136,0)</f>
        <v>32</v>
      </c>
      <c r="G129" s="6" t="s">
        <v>10</v>
      </c>
      <c r="H129" s="6"/>
      <c r="I129" s="6" t="str">
        <f>+$Q$2</f>
        <v>??</v>
      </c>
      <c r="J129" s="14" t="e">
        <f>+F129*H129*I129</f>
        <v>#VALUE!</v>
      </c>
      <c r="K129" s="14"/>
      <c r="L129" s="21"/>
      <c r="M129" s="46">
        <v>0</v>
      </c>
      <c r="N129" s="40">
        <f>+L129*M129</f>
        <v>0</v>
      </c>
      <c r="O129" s="21"/>
      <c r="P129" s="21"/>
      <c r="Q129" s="45">
        <f>+(F129*L129)+(F129*N129)+O129+P129</f>
        <v>0</v>
      </c>
      <c r="S129" s="53" t="e">
        <f>+T129/F129</f>
        <v>#VALUE!</v>
      </c>
      <c r="T129" s="49" t="e">
        <f>+J129+K129+Q129</f>
        <v>#VALUE!</v>
      </c>
      <c r="U129" s="49"/>
      <c r="V129" s="53">
        <f>+F129*H129</f>
        <v>0</v>
      </c>
    </row>
    <row r="130" spans="1:22" s="2" customFormat="1" hidden="1" outlineLevel="1" x14ac:dyDescent="0.35">
      <c r="A130" s="8"/>
      <c r="B130" s="9" t="s">
        <v>144</v>
      </c>
      <c r="C130" s="9">
        <v>2</v>
      </c>
      <c r="D130" s="9">
        <v>1.6</v>
      </c>
      <c r="E130" s="9">
        <v>4</v>
      </c>
      <c r="F130" s="10">
        <f>+C130*D130*E130</f>
        <v>12.8</v>
      </c>
      <c r="G130" s="10"/>
      <c r="H130" s="10"/>
      <c r="I130" s="10"/>
      <c r="J130" s="14"/>
      <c r="K130" s="14"/>
      <c r="L130" s="22"/>
      <c r="M130" s="47"/>
      <c r="N130" s="41"/>
      <c r="O130" s="22"/>
      <c r="P130" s="22"/>
      <c r="Q130" s="45"/>
      <c r="S130" s="50"/>
      <c r="T130" s="50"/>
      <c r="U130" s="50"/>
      <c r="V130" s="50"/>
    </row>
    <row r="131" spans="1:22" s="2" customFormat="1" hidden="1" outlineLevel="1" x14ac:dyDescent="0.35">
      <c r="A131" s="8"/>
      <c r="B131" s="9" t="s">
        <v>146</v>
      </c>
      <c r="C131" s="9">
        <v>2</v>
      </c>
      <c r="D131" s="9">
        <v>1.6</v>
      </c>
      <c r="E131" s="9">
        <v>6</v>
      </c>
      <c r="F131" s="10">
        <f t="shared" ref="F131:F134" si="13">+C131*D131*E131</f>
        <v>19.200000000000003</v>
      </c>
      <c r="G131" s="10"/>
      <c r="H131" s="10"/>
      <c r="I131" s="10"/>
      <c r="J131" s="14"/>
      <c r="K131" s="14"/>
      <c r="L131" s="22"/>
      <c r="M131" s="47"/>
      <c r="N131" s="41"/>
      <c r="O131" s="22"/>
      <c r="P131" s="22"/>
      <c r="Q131" s="45"/>
      <c r="S131" s="50"/>
      <c r="T131" s="50"/>
      <c r="U131" s="50"/>
      <c r="V131" s="50"/>
    </row>
    <row r="132" spans="1:22" s="2" customFormat="1" hidden="1" outlineLevel="1" x14ac:dyDescent="0.35">
      <c r="A132" s="8"/>
      <c r="B132" s="9"/>
      <c r="C132" s="9"/>
      <c r="D132" s="9"/>
      <c r="E132" s="9"/>
      <c r="F132" s="10">
        <f t="shared" si="13"/>
        <v>0</v>
      </c>
      <c r="G132" s="10"/>
      <c r="H132" s="10"/>
      <c r="I132" s="10"/>
      <c r="J132" s="14"/>
      <c r="K132" s="14"/>
      <c r="L132" s="22"/>
      <c r="M132" s="47"/>
      <c r="N132" s="41"/>
      <c r="O132" s="22"/>
      <c r="P132" s="22"/>
      <c r="Q132" s="45"/>
      <c r="S132" s="50"/>
      <c r="T132" s="50"/>
      <c r="U132" s="50"/>
      <c r="V132" s="50"/>
    </row>
    <row r="133" spans="1:22" s="2" customFormat="1" hidden="1" outlineLevel="1" x14ac:dyDescent="0.35">
      <c r="A133" s="8"/>
      <c r="B133" s="9"/>
      <c r="C133" s="9"/>
      <c r="D133" s="9"/>
      <c r="E133" s="9"/>
      <c r="F133" s="10">
        <f t="shared" si="13"/>
        <v>0</v>
      </c>
      <c r="G133" s="10"/>
      <c r="H133" s="10"/>
      <c r="I133" s="10"/>
      <c r="J133" s="14"/>
      <c r="K133" s="14"/>
      <c r="L133" s="22"/>
      <c r="M133" s="47"/>
      <c r="N133" s="41"/>
      <c r="O133" s="22"/>
      <c r="P133" s="22"/>
      <c r="Q133" s="45"/>
      <c r="S133" s="50"/>
      <c r="T133" s="50"/>
      <c r="U133" s="50"/>
      <c r="V133" s="50"/>
    </row>
    <row r="134" spans="1:22" s="2" customFormat="1" hidden="1" outlineLevel="1" x14ac:dyDescent="0.35">
      <c r="A134" s="8"/>
      <c r="C134" s="9"/>
      <c r="D134" s="9"/>
      <c r="E134" s="9">
        <v>1</v>
      </c>
      <c r="F134" s="10">
        <f t="shared" si="13"/>
        <v>0</v>
      </c>
      <c r="G134" s="10"/>
      <c r="H134" s="10"/>
      <c r="I134" s="10"/>
      <c r="J134" s="14"/>
      <c r="K134" s="14"/>
      <c r="L134" s="22"/>
      <c r="M134" s="47"/>
      <c r="N134" s="41"/>
      <c r="O134" s="22"/>
      <c r="P134" s="22"/>
      <c r="Q134" s="45"/>
      <c r="S134" s="50"/>
      <c r="T134" s="50"/>
      <c r="U134" s="50"/>
      <c r="V134" s="50"/>
    </row>
    <row r="135" spans="1:22" s="2" customFormat="1" hidden="1" outlineLevel="1" x14ac:dyDescent="0.35">
      <c r="A135" s="8"/>
      <c r="B135" s="9"/>
      <c r="C135" s="9"/>
      <c r="D135" s="9"/>
      <c r="E135" s="9"/>
      <c r="F135" s="10"/>
      <c r="G135" s="10"/>
      <c r="H135" s="10"/>
      <c r="I135" s="10"/>
      <c r="J135" s="14"/>
      <c r="K135" s="14"/>
      <c r="L135" s="22"/>
      <c r="M135" s="47"/>
      <c r="N135" s="41"/>
      <c r="O135" s="22"/>
      <c r="P135" s="22"/>
      <c r="Q135" s="45"/>
      <c r="S135" s="50"/>
      <c r="T135" s="50"/>
      <c r="U135" s="50"/>
      <c r="V135" s="50"/>
    </row>
    <row r="136" spans="1:22" s="2" customFormat="1" hidden="1" outlineLevel="1" x14ac:dyDescent="0.35">
      <c r="A136" s="8"/>
      <c r="B136" s="9"/>
      <c r="C136" s="9"/>
      <c r="D136" s="9"/>
      <c r="E136" s="9"/>
      <c r="F136" s="10">
        <f>SUM(F130:F135)</f>
        <v>32</v>
      </c>
      <c r="G136" s="10"/>
      <c r="H136" s="10"/>
      <c r="I136" s="10"/>
      <c r="J136" s="14"/>
      <c r="K136" s="14"/>
      <c r="L136" s="22"/>
      <c r="M136" s="47"/>
      <c r="N136" s="41"/>
      <c r="O136" s="22"/>
      <c r="P136" s="22"/>
      <c r="Q136" s="45"/>
      <c r="S136" s="50"/>
      <c r="T136" s="50"/>
      <c r="U136" s="50"/>
      <c r="V136" s="50"/>
    </row>
    <row r="137" spans="1:22" collapsed="1" x14ac:dyDescent="0.35">
      <c r="A137" s="6"/>
      <c r="B137" s="56"/>
      <c r="C137" s="56"/>
      <c r="D137" s="56"/>
      <c r="E137" s="56"/>
      <c r="F137" s="6"/>
      <c r="G137" s="6"/>
      <c r="H137" s="6"/>
      <c r="I137" s="6"/>
      <c r="J137" s="14"/>
      <c r="K137" s="14"/>
      <c r="L137" s="21"/>
      <c r="M137" s="46"/>
      <c r="N137" s="40"/>
      <c r="O137" s="21"/>
      <c r="P137" s="21"/>
      <c r="Q137" s="45"/>
      <c r="S137" s="3"/>
      <c r="T137" s="3"/>
      <c r="U137" s="3"/>
      <c r="V137" s="3"/>
    </row>
    <row r="138" spans="1:22" x14ac:dyDescent="0.35">
      <c r="A138" s="6">
        <f>+A129+1</f>
        <v>5</v>
      </c>
      <c r="B138" s="57" t="s">
        <v>148</v>
      </c>
      <c r="C138" s="57"/>
      <c r="D138" s="57"/>
      <c r="E138" s="57"/>
      <c r="F138" s="58">
        <v>299</v>
      </c>
      <c r="G138" s="6" t="s">
        <v>38</v>
      </c>
      <c r="H138" s="6"/>
      <c r="I138" s="6" t="str">
        <f>+$Q$2</f>
        <v>??</v>
      </c>
      <c r="J138" s="14" t="e">
        <f>+F138*H138*I138</f>
        <v>#VALUE!</v>
      </c>
      <c r="K138" s="14"/>
      <c r="L138" s="21"/>
      <c r="M138" s="46">
        <v>0</v>
      </c>
      <c r="N138" s="40">
        <f>+L138*M138</f>
        <v>0</v>
      </c>
      <c r="O138" s="21"/>
      <c r="P138" s="21"/>
      <c r="Q138" s="45">
        <f>+(F138*L138)+(F138*N138)+O138+P138</f>
        <v>0</v>
      </c>
      <c r="S138" s="53" t="e">
        <f>+T138/F138</f>
        <v>#VALUE!</v>
      </c>
      <c r="T138" s="49" t="e">
        <f>+J138+K138+Q138</f>
        <v>#VALUE!</v>
      </c>
      <c r="U138" s="49"/>
      <c r="V138" s="53">
        <f>+F138*H138</f>
        <v>0</v>
      </c>
    </row>
    <row r="139" spans="1:22" s="2" customFormat="1" hidden="1" outlineLevel="1" x14ac:dyDescent="0.35">
      <c r="A139" s="8"/>
      <c r="B139" s="9" t="s">
        <v>144</v>
      </c>
      <c r="C139" s="9">
        <v>2</v>
      </c>
      <c r="D139" s="9">
        <v>2</v>
      </c>
      <c r="E139" s="9">
        <v>4</v>
      </c>
      <c r="F139" s="10">
        <f>+C139*D139*E139</f>
        <v>16</v>
      </c>
      <c r="G139" s="10"/>
      <c r="H139" s="10"/>
      <c r="I139" s="10"/>
      <c r="J139" s="14"/>
      <c r="K139" s="14"/>
      <c r="L139" s="22"/>
      <c r="M139" s="47"/>
      <c r="N139" s="41"/>
      <c r="O139" s="22"/>
      <c r="P139" s="22"/>
      <c r="Q139" s="45"/>
      <c r="S139" s="50"/>
      <c r="T139" s="50"/>
      <c r="U139" s="50"/>
      <c r="V139" s="50"/>
    </row>
    <row r="140" spans="1:22" s="2" customFormat="1" hidden="1" outlineLevel="1" x14ac:dyDescent="0.35">
      <c r="A140" s="8"/>
      <c r="B140" s="9" t="s">
        <v>146</v>
      </c>
      <c r="C140" s="9">
        <v>2</v>
      </c>
      <c r="D140" s="9">
        <v>2</v>
      </c>
      <c r="E140" s="9">
        <v>6</v>
      </c>
      <c r="F140" s="10">
        <f t="shared" ref="F140" si="14">+C140*D140*E140</f>
        <v>24</v>
      </c>
      <c r="G140" s="10"/>
      <c r="H140" s="10"/>
      <c r="I140" s="10"/>
      <c r="J140" s="14"/>
      <c r="K140" s="14"/>
      <c r="L140" s="22"/>
      <c r="M140" s="47"/>
      <c r="N140" s="41"/>
      <c r="O140" s="22"/>
      <c r="P140" s="22"/>
      <c r="Q140" s="45"/>
      <c r="S140" s="50"/>
      <c r="T140" s="50"/>
      <c r="U140" s="50"/>
      <c r="V140" s="50"/>
    </row>
    <row r="141" spans="1:22" s="2" customFormat="1" hidden="1" outlineLevel="1" x14ac:dyDescent="0.35">
      <c r="A141" s="8"/>
      <c r="B141" s="9"/>
      <c r="C141" s="9"/>
      <c r="D141" s="9"/>
      <c r="E141" s="9">
        <v>0.6</v>
      </c>
      <c r="F141" s="10">
        <f t="shared" ref="F141:F147" si="15">+C141*D141*E141</f>
        <v>0</v>
      </c>
      <c r="G141" s="10"/>
      <c r="H141" s="10"/>
      <c r="I141" s="10"/>
      <c r="J141" s="14"/>
      <c r="K141" s="14"/>
      <c r="L141" s="22"/>
      <c r="M141" s="47"/>
      <c r="N141" s="41"/>
      <c r="O141" s="22"/>
      <c r="P141" s="22"/>
      <c r="Q141" s="45"/>
      <c r="S141" s="50"/>
      <c r="T141" s="50"/>
      <c r="U141" s="50"/>
      <c r="V141" s="50"/>
    </row>
    <row r="142" spans="1:22" s="2" customFormat="1" hidden="1" outlineLevel="1" x14ac:dyDescent="0.35">
      <c r="A142" s="8"/>
      <c r="B142" s="9"/>
      <c r="C142" s="9"/>
      <c r="D142" s="9"/>
      <c r="E142" s="9"/>
      <c r="F142" s="10"/>
      <c r="G142" s="10"/>
      <c r="H142" s="10"/>
      <c r="I142" s="10"/>
      <c r="J142" s="14"/>
      <c r="K142" s="14"/>
      <c r="L142" s="22"/>
      <c r="M142" s="47"/>
      <c r="N142" s="41"/>
      <c r="O142" s="22"/>
      <c r="P142" s="22"/>
      <c r="Q142" s="45"/>
      <c r="S142" s="50"/>
      <c r="T142" s="50"/>
      <c r="U142" s="50"/>
      <c r="V142" s="50"/>
    </row>
    <row r="143" spans="1:22" s="2" customFormat="1" hidden="1" outlineLevel="1" x14ac:dyDescent="0.35">
      <c r="A143" s="8"/>
      <c r="B143" s="9"/>
      <c r="C143" s="9"/>
      <c r="D143" s="9"/>
      <c r="E143" s="9"/>
      <c r="F143" s="10"/>
      <c r="G143" s="10"/>
      <c r="H143" s="10"/>
      <c r="I143" s="10"/>
      <c r="J143" s="14"/>
      <c r="K143" s="14"/>
      <c r="L143" s="22"/>
      <c r="M143" s="47"/>
      <c r="N143" s="41"/>
      <c r="O143" s="22"/>
      <c r="P143" s="22"/>
      <c r="Q143" s="45"/>
      <c r="S143" s="50"/>
      <c r="T143" s="50"/>
      <c r="U143" s="50"/>
      <c r="V143" s="50"/>
    </row>
    <row r="144" spans="1:22" s="2" customFormat="1" hidden="1" outlineLevel="1" x14ac:dyDescent="0.35">
      <c r="A144" s="8"/>
      <c r="B144" s="9"/>
      <c r="C144" s="9"/>
      <c r="D144" s="9"/>
      <c r="E144" s="9"/>
      <c r="F144" s="10"/>
      <c r="G144" s="10"/>
      <c r="H144" s="10"/>
      <c r="I144" s="10"/>
      <c r="J144" s="14"/>
      <c r="K144" s="14"/>
      <c r="L144" s="22"/>
      <c r="M144" s="47"/>
      <c r="N144" s="41"/>
      <c r="O144" s="22"/>
      <c r="P144" s="22"/>
      <c r="Q144" s="45"/>
      <c r="S144" s="50"/>
      <c r="T144" s="50"/>
      <c r="U144" s="50"/>
      <c r="V144" s="50"/>
    </row>
    <row r="145" spans="1:22" s="2" customFormat="1" hidden="1" outlineLevel="1" x14ac:dyDescent="0.35">
      <c r="A145" s="8"/>
      <c r="B145" s="9"/>
      <c r="C145" s="9"/>
      <c r="D145" s="9"/>
      <c r="E145" s="9"/>
      <c r="F145" s="10"/>
      <c r="G145" s="10"/>
      <c r="H145" s="10"/>
      <c r="I145" s="10"/>
      <c r="J145" s="14"/>
      <c r="K145" s="14"/>
      <c r="L145" s="22"/>
      <c r="M145" s="47"/>
      <c r="N145" s="41"/>
      <c r="O145" s="22"/>
      <c r="P145" s="22"/>
      <c r="Q145" s="45"/>
      <c r="S145" s="50"/>
      <c r="T145" s="50"/>
      <c r="U145" s="50"/>
      <c r="V145" s="50"/>
    </row>
    <row r="146" spans="1:22" s="2" customFormat="1" hidden="1" outlineLevel="1" x14ac:dyDescent="0.35">
      <c r="A146" s="8"/>
      <c r="B146" s="9"/>
      <c r="C146" s="9"/>
      <c r="D146" s="9"/>
      <c r="E146" s="9">
        <v>0.6</v>
      </c>
      <c r="F146" s="10">
        <f t="shared" si="15"/>
        <v>0</v>
      </c>
      <c r="G146" s="10"/>
      <c r="H146" s="10"/>
      <c r="I146" s="10"/>
      <c r="J146" s="14"/>
      <c r="K146" s="14"/>
      <c r="L146" s="22"/>
      <c r="M146" s="47"/>
      <c r="N146" s="41"/>
      <c r="O146" s="22"/>
      <c r="P146" s="22"/>
      <c r="Q146" s="45"/>
      <c r="S146" s="50"/>
      <c r="T146" s="50"/>
      <c r="U146" s="50"/>
      <c r="V146" s="50"/>
    </row>
    <row r="147" spans="1:22" s="2" customFormat="1" hidden="1" outlineLevel="1" x14ac:dyDescent="0.35">
      <c r="A147" s="8"/>
      <c r="B147" s="9"/>
      <c r="C147" s="9"/>
      <c r="D147" s="9"/>
      <c r="E147" s="9">
        <v>1</v>
      </c>
      <c r="F147" s="10">
        <f t="shared" si="15"/>
        <v>0</v>
      </c>
      <c r="G147" s="10"/>
      <c r="H147" s="10"/>
      <c r="I147" s="10"/>
      <c r="J147" s="14"/>
      <c r="K147" s="14"/>
      <c r="L147" s="22"/>
      <c r="M147" s="47"/>
      <c r="N147" s="41"/>
      <c r="O147" s="22"/>
      <c r="P147" s="22"/>
      <c r="Q147" s="45"/>
      <c r="S147" s="50"/>
      <c r="T147" s="50"/>
      <c r="U147" s="50"/>
      <c r="V147" s="50"/>
    </row>
    <row r="148" spans="1:22" s="2" customFormat="1" hidden="1" outlineLevel="1" x14ac:dyDescent="0.35">
      <c r="A148" s="8"/>
      <c r="B148" s="9"/>
      <c r="C148" s="9"/>
      <c r="D148" s="9"/>
      <c r="E148" s="9"/>
      <c r="F148" s="10"/>
      <c r="G148" s="10"/>
      <c r="H148" s="10"/>
      <c r="I148" s="10"/>
      <c r="J148" s="14"/>
      <c r="K148" s="14"/>
      <c r="L148" s="22"/>
      <c r="M148" s="47"/>
      <c r="N148" s="41"/>
      <c r="O148" s="22"/>
      <c r="P148" s="22"/>
      <c r="Q148" s="45"/>
      <c r="S148" s="50"/>
      <c r="T148" s="50"/>
      <c r="U148" s="50"/>
      <c r="V148" s="50"/>
    </row>
    <row r="149" spans="1:22" s="2" customFormat="1" hidden="1" outlineLevel="1" x14ac:dyDescent="0.35">
      <c r="A149" s="8"/>
      <c r="B149" s="9"/>
      <c r="C149" s="9"/>
      <c r="D149" s="9"/>
      <c r="E149" s="9"/>
      <c r="F149" s="10">
        <f>SUM(F139:F148)</f>
        <v>40</v>
      </c>
      <c r="G149" s="10"/>
      <c r="H149" s="10"/>
      <c r="I149" s="10"/>
      <c r="J149" s="14"/>
      <c r="K149" s="14"/>
      <c r="L149" s="22"/>
      <c r="M149" s="47"/>
      <c r="N149" s="41"/>
      <c r="O149" s="22"/>
      <c r="P149" s="22"/>
      <c r="Q149" s="45"/>
      <c r="S149" s="50"/>
      <c r="T149" s="50"/>
      <c r="U149" s="50"/>
      <c r="V149" s="50"/>
    </row>
    <row r="150" spans="1:22" collapsed="1" x14ac:dyDescent="0.35">
      <c r="A150" s="6"/>
      <c r="B150" s="56"/>
      <c r="C150" s="56"/>
      <c r="D150" s="56"/>
      <c r="E150" s="56"/>
      <c r="F150" s="6"/>
      <c r="G150" s="6"/>
      <c r="H150" s="6"/>
      <c r="I150" s="6"/>
      <c r="J150" s="14"/>
      <c r="K150" s="14"/>
      <c r="L150" s="21"/>
      <c r="M150" s="46"/>
      <c r="N150" s="40"/>
      <c r="O150" s="21"/>
      <c r="P150" s="21"/>
      <c r="Q150" s="45"/>
      <c r="S150" s="3"/>
      <c r="T150" s="3"/>
      <c r="U150" s="3"/>
      <c r="V150" s="3"/>
    </row>
    <row r="151" spans="1:22" x14ac:dyDescent="0.35">
      <c r="A151" s="6">
        <f>+A138+1</f>
        <v>6</v>
      </c>
      <c r="B151" s="57" t="s">
        <v>149</v>
      </c>
      <c r="C151" s="57"/>
      <c r="D151" s="57"/>
      <c r="E151" s="57"/>
      <c r="F151" s="58">
        <f>+ROUNDUP(F158,0)</f>
        <v>158</v>
      </c>
      <c r="G151" s="6" t="s">
        <v>38</v>
      </c>
      <c r="H151" s="6"/>
      <c r="I151" s="6" t="str">
        <f>+$Q$2</f>
        <v>??</v>
      </c>
      <c r="J151" s="14" t="e">
        <f>+F151*H151*I151</f>
        <v>#VALUE!</v>
      </c>
      <c r="K151" s="14"/>
      <c r="L151" s="21"/>
      <c r="M151" s="46">
        <v>0</v>
      </c>
      <c r="N151" s="40">
        <f>+L151*M151</f>
        <v>0</v>
      </c>
      <c r="O151" s="21"/>
      <c r="P151" s="21"/>
      <c r="Q151" s="45">
        <f>+(F151*L151)+(F151*N151)+O151+P151</f>
        <v>0</v>
      </c>
      <c r="S151" s="53" t="e">
        <f>+T151/F151</f>
        <v>#VALUE!</v>
      </c>
      <c r="T151" s="49" t="e">
        <f>+J151+K151+Q151</f>
        <v>#VALUE!</v>
      </c>
      <c r="U151" s="49"/>
      <c r="V151" s="53">
        <f>+F151*H151</f>
        <v>0</v>
      </c>
    </row>
    <row r="152" spans="1:22" s="2" customFormat="1" hidden="1" outlineLevel="1" x14ac:dyDescent="0.35">
      <c r="A152" s="8"/>
      <c r="B152" s="9"/>
      <c r="C152" s="9"/>
      <c r="D152" s="9"/>
      <c r="E152" s="9"/>
      <c r="F152" s="10">
        <f>+C152*D152*E152</f>
        <v>0</v>
      </c>
      <c r="G152" s="10"/>
      <c r="H152" s="10"/>
      <c r="I152" s="10"/>
      <c r="J152" s="14"/>
      <c r="K152" s="14"/>
      <c r="L152" s="22"/>
      <c r="M152" s="47"/>
      <c r="N152" s="41"/>
      <c r="O152" s="22"/>
      <c r="P152" s="22"/>
      <c r="Q152" s="45"/>
      <c r="S152" s="50"/>
      <c r="T152" s="50"/>
      <c r="U152" s="50"/>
      <c r="V152" s="50"/>
    </row>
    <row r="153" spans="1:22" s="2" customFormat="1" hidden="1" outlineLevel="1" x14ac:dyDescent="0.35">
      <c r="A153" s="8"/>
      <c r="B153" s="9" t="s">
        <v>121</v>
      </c>
      <c r="C153" s="9">
        <v>23.5</v>
      </c>
      <c r="D153" s="9">
        <v>1</v>
      </c>
      <c r="E153" s="9">
        <v>4</v>
      </c>
      <c r="F153" s="10">
        <f t="shared" ref="F153:F156" si="16">+C153*D153*E153</f>
        <v>94</v>
      </c>
      <c r="G153" s="10"/>
      <c r="H153" s="10"/>
      <c r="I153" s="10"/>
      <c r="J153" s="14"/>
      <c r="K153" s="14"/>
      <c r="L153" s="22"/>
      <c r="M153" s="47"/>
      <c r="N153" s="41"/>
      <c r="O153" s="22"/>
      <c r="P153" s="22"/>
      <c r="Q153" s="45"/>
      <c r="S153" s="50"/>
      <c r="T153" s="50"/>
      <c r="U153" s="50"/>
      <c r="V153" s="50"/>
    </row>
    <row r="154" spans="1:22" s="2" customFormat="1" hidden="1" outlineLevel="1" x14ac:dyDescent="0.35">
      <c r="A154" s="8"/>
      <c r="B154" s="9"/>
      <c r="C154" s="9">
        <v>16</v>
      </c>
      <c r="D154" s="9">
        <v>1</v>
      </c>
      <c r="E154" s="9">
        <v>4</v>
      </c>
      <c r="F154" s="10">
        <f t="shared" si="16"/>
        <v>64</v>
      </c>
      <c r="G154" s="10"/>
      <c r="H154" s="10"/>
      <c r="I154" s="10"/>
      <c r="J154" s="14"/>
      <c r="K154" s="14"/>
      <c r="L154" s="22"/>
      <c r="M154" s="47"/>
      <c r="N154" s="41"/>
      <c r="O154" s="22"/>
      <c r="P154" s="22"/>
      <c r="Q154" s="45"/>
      <c r="S154" s="50"/>
      <c r="T154" s="50"/>
      <c r="U154" s="50"/>
      <c r="V154" s="50"/>
    </row>
    <row r="155" spans="1:22" s="2" customFormat="1" hidden="1" outlineLevel="1" x14ac:dyDescent="0.35">
      <c r="A155" s="8"/>
      <c r="B155" s="9"/>
      <c r="C155" s="9"/>
      <c r="D155" s="9"/>
      <c r="E155" s="9">
        <v>0.6</v>
      </c>
      <c r="F155" s="10">
        <f t="shared" si="16"/>
        <v>0</v>
      </c>
      <c r="G155" s="10"/>
      <c r="H155" s="10"/>
      <c r="I155" s="10"/>
      <c r="J155" s="14"/>
      <c r="K155" s="14"/>
      <c r="L155" s="22"/>
      <c r="M155" s="47"/>
      <c r="N155" s="41"/>
      <c r="O155" s="22"/>
      <c r="P155" s="22"/>
      <c r="Q155" s="45"/>
      <c r="S155" s="50"/>
      <c r="T155" s="50"/>
      <c r="U155" s="50"/>
      <c r="V155" s="50"/>
    </row>
    <row r="156" spans="1:22" s="2" customFormat="1" hidden="1" outlineLevel="1" x14ac:dyDescent="0.35">
      <c r="A156" s="8"/>
      <c r="B156" s="9"/>
      <c r="C156" s="9"/>
      <c r="D156" s="9"/>
      <c r="E156" s="9">
        <v>1</v>
      </c>
      <c r="F156" s="10">
        <f t="shared" si="16"/>
        <v>0</v>
      </c>
      <c r="G156" s="10"/>
      <c r="H156" s="10"/>
      <c r="I156" s="10"/>
      <c r="J156" s="14"/>
      <c r="K156" s="14"/>
      <c r="L156" s="22"/>
      <c r="M156" s="47"/>
      <c r="N156" s="41"/>
      <c r="O156" s="22"/>
      <c r="P156" s="22"/>
      <c r="Q156" s="45"/>
      <c r="S156" s="50"/>
      <c r="T156" s="50"/>
      <c r="U156" s="50"/>
      <c r="V156" s="50"/>
    </row>
    <row r="157" spans="1:22" s="2" customFormat="1" hidden="1" outlineLevel="1" x14ac:dyDescent="0.35">
      <c r="A157" s="8"/>
      <c r="B157" s="9"/>
      <c r="C157" s="9"/>
      <c r="D157" s="9"/>
      <c r="E157" s="9"/>
      <c r="F157" s="10"/>
      <c r="G157" s="10"/>
      <c r="H157" s="10"/>
      <c r="I157" s="10"/>
      <c r="J157" s="14"/>
      <c r="K157" s="14"/>
      <c r="L157" s="22"/>
      <c r="M157" s="47"/>
      <c r="N157" s="41"/>
      <c r="O157" s="22"/>
      <c r="P157" s="22"/>
      <c r="Q157" s="45"/>
      <c r="S157" s="50"/>
      <c r="T157" s="50"/>
      <c r="U157" s="50"/>
      <c r="V157" s="50"/>
    </row>
    <row r="158" spans="1:22" s="2" customFormat="1" hidden="1" outlineLevel="1" x14ac:dyDescent="0.35">
      <c r="A158" s="8"/>
      <c r="B158" s="9"/>
      <c r="C158" s="9"/>
      <c r="D158" s="9"/>
      <c r="E158" s="9"/>
      <c r="F158" s="10">
        <f>SUM(F152:F157)</f>
        <v>158</v>
      </c>
      <c r="G158" s="10"/>
      <c r="H158" s="10"/>
      <c r="I158" s="10"/>
      <c r="J158" s="14"/>
      <c r="K158" s="14"/>
      <c r="L158" s="22"/>
      <c r="M158" s="47"/>
      <c r="N158" s="41"/>
      <c r="O158" s="22"/>
      <c r="P158" s="22"/>
      <c r="Q158" s="45"/>
      <c r="S158" s="50"/>
      <c r="T158" s="50"/>
      <c r="U158" s="50"/>
      <c r="V158" s="50"/>
    </row>
    <row r="159" spans="1:22" collapsed="1" x14ac:dyDescent="0.35">
      <c r="A159" s="6"/>
      <c r="B159" s="56"/>
      <c r="C159" s="56"/>
      <c r="D159" s="56"/>
      <c r="E159" s="56"/>
      <c r="F159" s="6"/>
      <c r="G159" s="6"/>
      <c r="H159" s="6"/>
      <c r="I159" s="6"/>
      <c r="J159" s="14"/>
      <c r="K159" s="14"/>
      <c r="L159" s="21"/>
      <c r="M159" s="46"/>
      <c r="N159" s="40"/>
      <c r="O159" s="21"/>
      <c r="P159" s="21"/>
      <c r="Q159" s="45"/>
      <c r="S159" s="3"/>
      <c r="T159" s="3"/>
      <c r="U159" s="3"/>
      <c r="V159" s="3"/>
    </row>
    <row r="160" spans="1:22" x14ac:dyDescent="0.35">
      <c r="A160" s="6">
        <f>+A151+1</f>
        <v>7</v>
      </c>
      <c r="B160" s="57" t="s">
        <v>143</v>
      </c>
      <c r="C160" s="57"/>
      <c r="D160" s="57"/>
      <c r="E160" s="57"/>
      <c r="F160" s="58">
        <f>+ROUNDUP(F167,0)</f>
        <v>141</v>
      </c>
      <c r="G160" s="6" t="s">
        <v>38</v>
      </c>
      <c r="H160" s="6"/>
      <c r="I160" s="6" t="str">
        <f>+$Q$2</f>
        <v>??</v>
      </c>
      <c r="J160" s="14" t="e">
        <f>+F160*H160*I160</f>
        <v>#VALUE!</v>
      </c>
      <c r="K160" s="14"/>
      <c r="L160" s="21"/>
      <c r="M160" s="46">
        <v>0</v>
      </c>
      <c r="N160" s="40">
        <f>+L160*M160</f>
        <v>0</v>
      </c>
      <c r="O160" s="21"/>
      <c r="P160" s="21"/>
      <c r="Q160" s="45">
        <f>+(F160*L160)+(F160*N160)+O160+P160</f>
        <v>0</v>
      </c>
      <c r="S160" s="53" t="e">
        <f>+T160/F160</f>
        <v>#VALUE!</v>
      </c>
      <c r="T160" s="49" t="e">
        <f>+J160+K160+Q160</f>
        <v>#VALUE!</v>
      </c>
      <c r="U160" s="49"/>
      <c r="V160" s="53">
        <f>+F160*H160</f>
        <v>0</v>
      </c>
    </row>
    <row r="161" spans="1:22" s="2" customFormat="1" hidden="1" outlineLevel="1" x14ac:dyDescent="0.35">
      <c r="A161" s="8"/>
      <c r="B161" s="9"/>
      <c r="C161" s="9"/>
      <c r="D161" s="9"/>
      <c r="E161" s="9"/>
      <c r="F161" s="10">
        <f>+C161*D161*E161</f>
        <v>0</v>
      </c>
      <c r="G161" s="10"/>
      <c r="H161" s="10"/>
      <c r="I161" s="10"/>
      <c r="J161" s="14"/>
      <c r="K161" s="14"/>
      <c r="L161" s="22"/>
      <c r="M161" s="47"/>
      <c r="N161" s="41"/>
      <c r="O161" s="22"/>
      <c r="P161" s="22"/>
      <c r="Q161" s="45"/>
      <c r="S161" s="50"/>
      <c r="T161" s="50"/>
      <c r="U161" s="50"/>
      <c r="V161" s="50"/>
    </row>
    <row r="162" spans="1:22" s="2" customFormat="1" hidden="1" outlineLevel="1" x14ac:dyDescent="0.35">
      <c r="A162" s="8"/>
      <c r="B162" s="9"/>
      <c r="C162" s="9">
        <v>23.5</v>
      </c>
      <c r="D162" s="9">
        <v>2</v>
      </c>
      <c r="E162" s="9">
        <v>3</v>
      </c>
      <c r="F162" s="10">
        <f t="shared" ref="F162:F165" si="17">+C162*D162*E162</f>
        <v>141</v>
      </c>
      <c r="G162" s="10"/>
      <c r="H162" s="10"/>
      <c r="I162" s="10"/>
      <c r="J162" s="14"/>
      <c r="K162" s="14"/>
      <c r="L162" s="22"/>
      <c r="M162" s="47"/>
      <c r="N162" s="41"/>
      <c r="O162" s="22"/>
      <c r="P162" s="22"/>
      <c r="Q162" s="45"/>
      <c r="S162" s="50"/>
      <c r="T162" s="50"/>
      <c r="U162" s="50"/>
      <c r="V162" s="50"/>
    </row>
    <row r="163" spans="1:22" s="2" customFormat="1" hidden="1" outlineLevel="1" x14ac:dyDescent="0.35">
      <c r="A163" s="8"/>
      <c r="B163" s="9"/>
      <c r="C163" s="9"/>
      <c r="D163" s="9"/>
      <c r="E163" s="9">
        <v>0.6</v>
      </c>
      <c r="F163" s="10">
        <f t="shared" si="17"/>
        <v>0</v>
      </c>
      <c r="G163" s="10"/>
      <c r="H163" s="10"/>
      <c r="I163" s="10"/>
      <c r="J163" s="14"/>
      <c r="K163" s="14"/>
      <c r="L163" s="22"/>
      <c r="M163" s="47"/>
      <c r="N163" s="41"/>
      <c r="O163" s="22"/>
      <c r="P163" s="22"/>
      <c r="Q163" s="45"/>
      <c r="S163" s="50"/>
      <c r="T163" s="50"/>
      <c r="U163" s="50"/>
      <c r="V163" s="50"/>
    </row>
    <row r="164" spans="1:22" s="2" customFormat="1" hidden="1" outlineLevel="1" x14ac:dyDescent="0.35">
      <c r="A164" s="8"/>
      <c r="B164" s="9"/>
      <c r="C164" s="9"/>
      <c r="D164" s="9"/>
      <c r="E164" s="9">
        <v>0.6</v>
      </c>
      <c r="F164" s="10">
        <f t="shared" si="17"/>
        <v>0</v>
      </c>
      <c r="G164" s="10"/>
      <c r="H164" s="10"/>
      <c r="I164" s="10"/>
      <c r="J164" s="14"/>
      <c r="K164" s="14"/>
      <c r="L164" s="22"/>
      <c r="M164" s="47"/>
      <c r="N164" s="41"/>
      <c r="O164" s="22"/>
      <c r="P164" s="22"/>
      <c r="Q164" s="45"/>
      <c r="S164" s="50"/>
      <c r="T164" s="50"/>
      <c r="U164" s="50"/>
      <c r="V164" s="50"/>
    </row>
    <row r="165" spans="1:22" s="2" customFormat="1" hidden="1" outlineLevel="1" x14ac:dyDescent="0.35">
      <c r="A165" s="8"/>
      <c r="B165" s="9"/>
      <c r="C165" s="9"/>
      <c r="D165" s="9"/>
      <c r="E165" s="9">
        <v>1</v>
      </c>
      <c r="F165" s="10">
        <f t="shared" si="17"/>
        <v>0</v>
      </c>
      <c r="G165" s="10"/>
      <c r="H165" s="10"/>
      <c r="I165" s="10"/>
      <c r="J165" s="14"/>
      <c r="K165" s="14"/>
      <c r="L165" s="22"/>
      <c r="M165" s="47"/>
      <c r="N165" s="41"/>
      <c r="O165" s="22"/>
      <c r="P165" s="22"/>
      <c r="Q165" s="45"/>
      <c r="S165" s="50"/>
      <c r="T165" s="50"/>
      <c r="U165" s="50"/>
      <c r="V165" s="50"/>
    </row>
    <row r="166" spans="1:22" s="2" customFormat="1" hidden="1" outlineLevel="1" x14ac:dyDescent="0.35">
      <c r="A166" s="8"/>
      <c r="B166" s="9"/>
      <c r="C166" s="9"/>
      <c r="D166" s="9"/>
      <c r="E166" s="9"/>
      <c r="F166" s="10"/>
      <c r="G166" s="10"/>
      <c r="H166" s="10"/>
      <c r="I166" s="10"/>
      <c r="J166" s="14"/>
      <c r="K166" s="14"/>
      <c r="L166" s="22"/>
      <c r="M166" s="47"/>
      <c r="N166" s="41"/>
      <c r="O166" s="22"/>
      <c r="P166" s="22"/>
      <c r="Q166" s="45"/>
      <c r="S166" s="50"/>
      <c r="T166" s="50"/>
      <c r="U166" s="50"/>
      <c r="V166" s="50"/>
    </row>
    <row r="167" spans="1:22" s="2" customFormat="1" hidden="1" outlineLevel="1" x14ac:dyDescent="0.35">
      <c r="A167" s="8"/>
      <c r="B167" s="9"/>
      <c r="C167" s="9"/>
      <c r="D167" s="9"/>
      <c r="E167" s="9"/>
      <c r="F167" s="10">
        <f>SUM(F161:F166)</f>
        <v>141</v>
      </c>
      <c r="G167" s="10"/>
      <c r="H167" s="10"/>
      <c r="I167" s="10"/>
      <c r="J167" s="14"/>
      <c r="K167" s="14"/>
      <c r="L167" s="22"/>
      <c r="M167" s="47"/>
      <c r="N167" s="41"/>
      <c r="O167" s="22"/>
      <c r="P167" s="22"/>
      <c r="Q167" s="45"/>
      <c r="S167" s="50"/>
      <c r="T167" s="50"/>
      <c r="U167" s="50"/>
      <c r="V167" s="50"/>
    </row>
    <row r="168" spans="1:22" collapsed="1" x14ac:dyDescent="0.35">
      <c r="A168" s="6"/>
      <c r="B168" s="56"/>
      <c r="C168" s="56"/>
      <c r="D168" s="56"/>
      <c r="E168" s="56"/>
      <c r="F168" s="6"/>
      <c r="G168" s="6"/>
      <c r="H168" s="6"/>
      <c r="I168" s="6"/>
      <c r="J168" s="14"/>
      <c r="K168" s="14"/>
      <c r="L168" s="21"/>
      <c r="M168" s="46"/>
      <c r="N168" s="40"/>
      <c r="O168" s="21"/>
      <c r="P168" s="21"/>
      <c r="Q168" s="45"/>
      <c r="S168" s="3"/>
      <c r="T168" s="3"/>
      <c r="U168" s="3"/>
      <c r="V168" s="3"/>
    </row>
    <row r="169" spans="1:22" x14ac:dyDescent="0.35">
      <c r="A169" s="6"/>
      <c r="B169" s="56"/>
      <c r="C169" s="56"/>
      <c r="D169" s="56"/>
      <c r="E169" s="56"/>
      <c r="F169" s="6"/>
      <c r="G169" s="6"/>
      <c r="H169" s="6"/>
      <c r="I169" s="6"/>
      <c r="J169" s="14"/>
      <c r="K169" s="14"/>
      <c r="L169" s="21"/>
      <c r="M169" s="46"/>
      <c r="N169" s="40"/>
      <c r="O169" s="21"/>
      <c r="P169" s="21"/>
      <c r="Q169" s="45"/>
      <c r="S169" s="3"/>
      <c r="T169" s="3"/>
      <c r="U169" s="3"/>
      <c r="V169" s="3"/>
    </row>
    <row r="170" spans="1:22" x14ac:dyDescent="0.35">
      <c r="A170" s="6"/>
      <c r="B170" s="56"/>
      <c r="C170" s="56"/>
      <c r="D170" s="56"/>
      <c r="E170" s="56"/>
      <c r="F170" s="6"/>
      <c r="G170" s="6"/>
      <c r="H170" s="6"/>
      <c r="I170" s="6"/>
      <c r="J170" s="14"/>
      <c r="K170" s="14"/>
      <c r="L170" s="21"/>
      <c r="M170" s="46"/>
      <c r="N170" s="40"/>
      <c r="O170" s="21"/>
      <c r="P170" s="21"/>
      <c r="Q170" s="45"/>
      <c r="S170" s="3"/>
      <c r="T170" s="3"/>
      <c r="U170" s="3"/>
      <c r="V170" s="3"/>
    </row>
    <row r="171" spans="1:22" x14ac:dyDescent="0.35">
      <c r="A171" s="6"/>
      <c r="B171" s="56"/>
      <c r="C171" s="56"/>
      <c r="D171" s="56"/>
      <c r="E171" s="56"/>
      <c r="F171" s="6"/>
      <c r="G171" s="6"/>
      <c r="H171" s="6"/>
      <c r="I171" s="6"/>
      <c r="J171" s="14"/>
      <c r="K171" s="14"/>
      <c r="L171" s="21"/>
      <c r="M171" s="46"/>
      <c r="N171" s="40"/>
      <c r="O171" s="21"/>
      <c r="P171" s="21"/>
      <c r="Q171" s="45"/>
      <c r="S171" s="3"/>
      <c r="T171" s="3"/>
      <c r="U171" s="3"/>
      <c r="V171" s="3"/>
    </row>
    <row r="172" spans="1:22" x14ac:dyDescent="0.35">
      <c r="A172" s="6"/>
      <c r="B172" s="56"/>
      <c r="C172" s="56"/>
      <c r="D172" s="56"/>
      <c r="E172" s="56"/>
      <c r="F172" s="6"/>
      <c r="G172" s="6"/>
      <c r="H172" s="6"/>
      <c r="I172" s="6"/>
      <c r="J172" s="14"/>
      <c r="K172" s="14"/>
      <c r="L172" s="21"/>
      <c r="M172" s="46"/>
      <c r="N172" s="40"/>
      <c r="O172" s="21"/>
      <c r="P172" s="21"/>
      <c r="Q172" s="45"/>
      <c r="S172" s="3"/>
      <c r="T172" s="3"/>
      <c r="U172" s="3"/>
      <c r="V172" s="3"/>
    </row>
    <row r="173" spans="1:22" s="15" customFormat="1" x14ac:dyDescent="0.35">
      <c r="A173" s="12"/>
      <c r="B173" s="13"/>
      <c r="C173" s="13"/>
      <c r="D173" s="13"/>
      <c r="E173" s="13"/>
      <c r="F173" s="12"/>
      <c r="G173" s="12"/>
      <c r="H173" s="12"/>
      <c r="I173" s="12"/>
      <c r="J173" s="14" t="e">
        <f>SUM(J7:J172)</f>
        <v>#VALUE!</v>
      </c>
      <c r="K173" s="14">
        <f>SUM(K7:K172)</f>
        <v>26685</v>
      </c>
      <c r="L173" s="23"/>
      <c r="M173" s="23"/>
      <c r="N173" s="23"/>
      <c r="O173" s="23"/>
      <c r="P173" s="23"/>
      <c r="Q173" s="23">
        <f>SUM(Q7:Q172)</f>
        <v>0</v>
      </c>
      <c r="S173" s="51"/>
      <c r="T173" s="54" t="e">
        <f>SUM(T7:T172)</f>
        <v>#VALUE!</v>
      </c>
      <c r="U173" s="54"/>
      <c r="V173" s="51"/>
    </row>
    <row r="174" spans="1:22" x14ac:dyDescent="0.35">
      <c r="A174" s="6"/>
      <c r="B174" s="7"/>
      <c r="C174" s="7"/>
      <c r="D174" s="7"/>
      <c r="E174" s="7"/>
      <c r="F174" s="6"/>
      <c r="G174" s="6"/>
      <c r="H174" s="6"/>
      <c r="I174" s="6"/>
      <c r="J174" s="14"/>
      <c r="K174" s="43"/>
      <c r="L174" s="26"/>
      <c r="M174" s="26"/>
      <c r="N174" s="26"/>
      <c r="O174" s="26"/>
      <c r="P174" s="26"/>
      <c r="Q174" s="23"/>
      <c r="S174" s="3"/>
      <c r="T174" s="3"/>
      <c r="U174" s="3"/>
      <c r="V174" s="3"/>
    </row>
    <row r="175" spans="1:22" s="19" customFormat="1" x14ac:dyDescent="0.35">
      <c r="A175" s="16"/>
      <c r="B175" s="17" t="s">
        <v>14</v>
      </c>
      <c r="C175" s="17"/>
      <c r="D175" s="17"/>
      <c r="E175" s="17"/>
      <c r="F175" s="20"/>
      <c r="G175" s="16"/>
      <c r="H175" s="16"/>
      <c r="I175" s="16"/>
      <c r="J175" s="18"/>
      <c r="K175" s="18"/>
      <c r="L175" s="27"/>
      <c r="M175" s="27"/>
      <c r="N175" s="27"/>
      <c r="O175" s="27"/>
      <c r="P175" s="27"/>
      <c r="Q175" s="24" t="e">
        <f>+J173+K173+Q173</f>
        <v>#VALUE!</v>
      </c>
      <c r="S175" s="52"/>
      <c r="T175" s="52"/>
      <c r="U175" s="52"/>
      <c r="V175" s="52"/>
    </row>
    <row r="176" spans="1:22" x14ac:dyDescent="0.35">
      <c r="A176" s="1"/>
      <c r="F176" s="1"/>
      <c r="G176" s="1"/>
      <c r="H176" s="1"/>
      <c r="I176" s="1"/>
      <c r="J176" s="4"/>
      <c r="K176" s="4"/>
      <c r="L176" s="28"/>
      <c r="M176" s="28"/>
      <c r="N176" s="28"/>
      <c r="O176" s="28"/>
      <c r="P176" s="28"/>
      <c r="Q176" s="25"/>
      <c r="S176" s="3"/>
      <c r="T176" s="3"/>
      <c r="U176" s="3"/>
      <c r="V176" s="3"/>
    </row>
    <row r="192" spans="12:12" x14ac:dyDescent="0.35">
      <c r="L192" s="30"/>
    </row>
    <row r="193" spans="12:12" x14ac:dyDescent="0.35">
      <c r="L193" s="21">
        <v>203</v>
      </c>
    </row>
    <row r="194" spans="12:12" x14ac:dyDescent="0.35">
      <c r="L194" s="22"/>
    </row>
    <row r="195" spans="12:12" x14ac:dyDescent="0.35">
      <c r="L195" s="22"/>
    </row>
    <row r="196" spans="12:12" x14ac:dyDescent="0.35">
      <c r="L196" s="22"/>
    </row>
    <row r="197" spans="12:12" x14ac:dyDescent="0.35">
      <c r="L197" s="22"/>
    </row>
    <row r="198" spans="12:12" x14ac:dyDescent="0.35">
      <c r="L198" s="22"/>
    </row>
    <row r="199" spans="12:12" x14ac:dyDescent="0.35">
      <c r="L199" s="22"/>
    </row>
    <row r="200" spans="12:12" x14ac:dyDescent="0.35">
      <c r="L200" s="22"/>
    </row>
    <row r="201" spans="12:12" x14ac:dyDescent="0.35">
      <c r="L201" s="22"/>
    </row>
    <row r="202" spans="12:12" x14ac:dyDescent="0.35">
      <c r="L202" s="22"/>
    </row>
    <row r="203" spans="12:12" x14ac:dyDescent="0.35">
      <c r="L203" s="21"/>
    </row>
    <row r="204" spans="12:12" x14ac:dyDescent="0.35">
      <c r="L204" s="21">
        <v>203</v>
      </c>
    </row>
    <row r="205" spans="12:12" x14ac:dyDescent="0.35">
      <c r="L205" s="22"/>
    </row>
    <row r="206" spans="12:12" x14ac:dyDescent="0.35">
      <c r="L206" s="22"/>
    </row>
    <row r="207" spans="12:12" x14ac:dyDescent="0.35">
      <c r="L207" s="22"/>
    </row>
    <row r="208" spans="12:12" x14ac:dyDescent="0.35">
      <c r="L208" s="22"/>
    </row>
    <row r="209" spans="12:12" x14ac:dyDescent="0.35">
      <c r="L209" s="22"/>
    </row>
    <row r="210" spans="12:12" x14ac:dyDescent="0.35">
      <c r="L210" s="22"/>
    </row>
    <row r="211" spans="12:12" x14ac:dyDescent="0.35">
      <c r="L211" s="22"/>
    </row>
    <row r="212" spans="12:12" x14ac:dyDescent="0.35">
      <c r="L212" s="22"/>
    </row>
    <row r="213" spans="12:12" x14ac:dyDescent="0.35">
      <c r="L213" s="22"/>
    </row>
    <row r="214" spans="12:12" x14ac:dyDescent="0.35">
      <c r="L214" s="22"/>
    </row>
    <row r="215" spans="12:12" x14ac:dyDescent="0.35">
      <c r="L215" s="22"/>
    </row>
    <row r="216" spans="12:12" x14ac:dyDescent="0.35">
      <c r="L216" s="22"/>
    </row>
    <row r="217" spans="12:12" x14ac:dyDescent="0.35">
      <c r="L217" s="22"/>
    </row>
    <row r="218" spans="12:12" x14ac:dyDescent="0.35">
      <c r="L218" s="21"/>
    </row>
    <row r="219" spans="12:12" x14ac:dyDescent="0.35">
      <c r="L219" s="21">
        <v>203</v>
      </c>
    </row>
    <row r="220" spans="12:12" x14ac:dyDescent="0.35">
      <c r="L220" s="22"/>
    </row>
    <row r="221" spans="12:12" x14ac:dyDescent="0.35">
      <c r="L221" s="22"/>
    </row>
    <row r="222" spans="12:12" x14ac:dyDescent="0.35">
      <c r="L222" s="22"/>
    </row>
    <row r="223" spans="12:12" x14ac:dyDescent="0.35">
      <c r="L223" s="22"/>
    </row>
    <row r="224" spans="12:12" x14ac:dyDescent="0.35">
      <c r="L224" s="22"/>
    </row>
    <row r="225" spans="12:12" x14ac:dyDescent="0.35">
      <c r="L225" s="22"/>
    </row>
    <row r="226" spans="12:12" x14ac:dyDescent="0.35">
      <c r="L226" s="22"/>
    </row>
    <row r="227" spans="12:12" x14ac:dyDescent="0.35">
      <c r="L227" s="21"/>
    </row>
    <row r="228" spans="12:12" x14ac:dyDescent="0.35">
      <c r="L228" s="21">
        <v>203</v>
      </c>
    </row>
    <row r="229" spans="12:12" x14ac:dyDescent="0.35">
      <c r="L229" s="22"/>
    </row>
    <row r="230" spans="12:12" x14ac:dyDescent="0.35">
      <c r="L230" s="22"/>
    </row>
    <row r="231" spans="12:12" x14ac:dyDescent="0.35">
      <c r="L231" s="22"/>
    </row>
    <row r="232" spans="12:12" x14ac:dyDescent="0.35">
      <c r="L232" s="22"/>
    </row>
    <row r="233" spans="12:12" x14ac:dyDescent="0.35">
      <c r="L233" s="22"/>
    </row>
    <row r="234" spans="12:12" x14ac:dyDescent="0.35">
      <c r="L234" s="22"/>
    </row>
    <row r="235" spans="12:12" x14ac:dyDescent="0.35">
      <c r="L235" s="22"/>
    </row>
    <row r="236" spans="12:12" x14ac:dyDescent="0.35">
      <c r="L236" s="22"/>
    </row>
    <row r="237" spans="12:12" x14ac:dyDescent="0.35">
      <c r="L237" s="22"/>
    </row>
    <row r="238" spans="12:12" x14ac:dyDescent="0.35">
      <c r="L238" s="22"/>
    </row>
    <row r="239" spans="12:12" x14ac:dyDescent="0.35">
      <c r="L239" s="22"/>
    </row>
    <row r="240" spans="12:12" x14ac:dyDescent="0.35">
      <c r="L240" s="21"/>
    </row>
    <row r="241" spans="12:12" x14ac:dyDescent="0.35">
      <c r="L241" s="21">
        <v>191</v>
      </c>
    </row>
    <row r="242" spans="12:12" x14ac:dyDescent="0.35">
      <c r="L242" s="22"/>
    </row>
    <row r="243" spans="12:12" x14ac:dyDescent="0.35">
      <c r="L243" s="22"/>
    </row>
    <row r="244" spans="12:12" x14ac:dyDescent="0.35">
      <c r="L244" s="22"/>
    </row>
    <row r="245" spans="12:12" x14ac:dyDescent="0.35">
      <c r="L245" s="22"/>
    </row>
    <row r="246" spans="12:12" x14ac:dyDescent="0.35">
      <c r="L246" s="22"/>
    </row>
    <row r="247" spans="12:12" x14ac:dyDescent="0.35">
      <c r="L247" s="22"/>
    </row>
    <row r="248" spans="12:12" x14ac:dyDescent="0.35">
      <c r="L248" s="22"/>
    </row>
    <row r="249" spans="12:12" x14ac:dyDescent="0.35">
      <c r="L249" s="21"/>
    </row>
    <row r="250" spans="12:12" x14ac:dyDescent="0.35">
      <c r="L250" s="21">
        <v>191</v>
      </c>
    </row>
    <row r="251" spans="12:12" x14ac:dyDescent="0.35">
      <c r="L251" s="22"/>
    </row>
    <row r="252" spans="12:12" x14ac:dyDescent="0.35">
      <c r="L252" s="22"/>
    </row>
    <row r="253" spans="12:12" x14ac:dyDescent="0.35">
      <c r="L253" s="22"/>
    </row>
    <row r="254" spans="12:12" x14ac:dyDescent="0.35">
      <c r="L254" s="22"/>
    </row>
    <row r="255" spans="12:12" x14ac:dyDescent="0.35">
      <c r="L255" s="22"/>
    </row>
    <row r="256" spans="12:12" x14ac:dyDescent="0.35">
      <c r="L256" s="22"/>
    </row>
    <row r="257" spans="12:12" x14ac:dyDescent="0.35">
      <c r="L257" s="22"/>
    </row>
    <row r="258" spans="12:12" x14ac:dyDescent="0.35">
      <c r="L258" s="22"/>
    </row>
    <row r="259" spans="12:12" x14ac:dyDescent="0.35">
      <c r="L259" s="22"/>
    </row>
    <row r="260" spans="12:12" x14ac:dyDescent="0.35">
      <c r="L260" s="22"/>
    </row>
    <row r="261" spans="12:12" x14ac:dyDescent="0.35">
      <c r="L261" s="21"/>
    </row>
    <row r="262" spans="12:12" x14ac:dyDescent="0.35">
      <c r="L262" s="21">
        <v>191</v>
      </c>
    </row>
    <row r="263" spans="12:12" x14ac:dyDescent="0.35">
      <c r="L263" s="22"/>
    </row>
    <row r="264" spans="12:12" x14ac:dyDescent="0.35">
      <c r="L264" s="22"/>
    </row>
    <row r="265" spans="12:12" x14ac:dyDescent="0.35">
      <c r="L265" s="22"/>
    </row>
    <row r="266" spans="12:12" x14ac:dyDescent="0.35">
      <c r="L266" s="22"/>
    </row>
    <row r="267" spans="12:12" x14ac:dyDescent="0.35">
      <c r="L267" s="22"/>
    </row>
    <row r="268" spans="12:12" x14ac:dyDescent="0.35">
      <c r="L268" s="22"/>
    </row>
    <row r="269" spans="12:12" x14ac:dyDescent="0.35">
      <c r="L269" s="22"/>
    </row>
    <row r="270" spans="12:12" x14ac:dyDescent="0.35">
      <c r="L270" s="21"/>
    </row>
    <row r="271" spans="12:12" x14ac:dyDescent="0.35">
      <c r="L271" s="21">
        <v>191</v>
      </c>
    </row>
    <row r="272" spans="12:12" x14ac:dyDescent="0.35">
      <c r="L272" s="22"/>
    </row>
    <row r="273" spans="12:12" x14ac:dyDescent="0.35">
      <c r="L273" s="22"/>
    </row>
    <row r="274" spans="12:12" x14ac:dyDescent="0.35">
      <c r="L274" s="22"/>
    </row>
    <row r="275" spans="12:12" x14ac:dyDescent="0.35">
      <c r="L275" s="22"/>
    </row>
    <row r="276" spans="12:12" x14ac:dyDescent="0.35">
      <c r="L276" s="22"/>
    </row>
    <row r="277" spans="12:12" x14ac:dyDescent="0.35">
      <c r="L277" s="22"/>
    </row>
    <row r="278" spans="12:12" x14ac:dyDescent="0.35">
      <c r="L278" s="22"/>
    </row>
    <row r="279" spans="12:12" x14ac:dyDescent="0.35">
      <c r="L279" s="21"/>
    </row>
    <row r="280" spans="12:12" x14ac:dyDescent="0.35">
      <c r="L280" s="21"/>
    </row>
    <row r="281" spans="12:12" x14ac:dyDescent="0.35">
      <c r="L281" s="21"/>
    </row>
    <row r="282" spans="12:12" x14ac:dyDescent="0.35">
      <c r="L282" s="21"/>
    </row>
    <row r="283" spans="12:12" x14ac:dyDescent="0.35">
      <c r="L283" s="30"/>
    </row>
    <row r="284" spans="12:12" x14ac:dyDescent="0.35">
      <c r="L284" s="21">
        <v>97.5</v>
      </c>
    </row>
    <row r="285" spans="12:12" x14ac:dyDescent="0.35">
      <c r="L285" s="22"/>
    </row>
    <row r="286" spans="12:12" x14ac:dyDescent="0.35">
      <c r="L286" s="22"/>
    </row>
    <row r="287" spans="12:12" x14ac:dyDescent="0.35">
      <c r="L287" s="22"/>
    </row>
    <row r="288" spans="12:12" x14ac:dyDescent="0.35">
      <c r="L288" s="22"/>
    </row>
    <row r="289" spans="12:12" x14ac:dyDescent="0.35">
      <c r="L289" s="22"/>
    </row>
    <row r="290" spans="12:12" x14ac:dyDescent="0.35">
      <c r="L290" s="22"/>
    </row>
    <row r="291" spans="12:12" x14ac:dyDescent="0.35">
      <c r="L291" s="22"/>
    </row>
    <row r="292" spans="12:12" x14ac:dyDescent="0.35">
      <c r="L292" s="22"/>
    </row>
    <row r="293" spans="12:12" x14ac:dyDescent="0.35">
      <c r="L293" s="22"/>
    </row>
    <row r="294" spans="12:12" x14ac:dyDescent="0.35">
      <c r="L294" s="22"/>
    </row>
    <row r="295" spans="12:12" x14ac:dyDescent="0.35">
      <c r="L295" s="22"/>
    </row>
    <row r="296" spans="12:12" x14ac:dyDescent="0.35">
      <c r="L296" s="22"/>
    </row>
    <row r="297" spans="12:12" x14ac:dyDescent="0.35">
      <c r="L297" s="21"/>
    </row>
    <row r="298" spans="12:12" x14ac:dyDescent="0.35">
      <c r="L298" s="21">
        <v>97.5</v>
      </c>
    </row>
    <row r="299" spans="12:12" x14ac:dyDescent="0.35">
      <c r="L299" s="22"/>
    </row>
    <row r="300" spans="12:12" x14ac:dyDescent="0.35">
      <c r="L300" s="22"/>
    </row>
    <row r="301" spans="12:12" x14ac:dyDescent="0.35">
      <c r="L301" s="22"/>
    </row>
    <row r="302" spans="12:12" x14ac:dyDescent="0.35">
      <c r="L302" s="22"/>
    </row>
    <row r="303" spans="12:12" x14ac:dyDescent="0.35">
      <c r="L303" s="22"/>
    </row>
    <row r="304" spans="12:12" x14ac:dyDescent="0.35">
      <c r="L304" s="22"/>
    </row>
    <row r="305" spans="12:12" x14ac:dyDescent="0.35">
      <c r="L305" s="22"/>
    </row>
    <row r="306" spans="12:12" x14ac:dyDescent="0.35">
      <c r="L306" s="22"/>
    </row>
    <row r="307" spans="12:12" x14ac:dyDescent="0.35">
      <c r="L307" s="22"/>
    </row>
    <row r="308" spans="12:12" x14ac:dyDescent="0.35">
      <c r="L308" s="21"/>
    </row>
    <row r="309" spans="12:12" x14ac:dyDescent="0.35">
      <c r="L309" s="21">
        <v>97.5</v>
      </c>
    </row>
    <row r="310" spans="12:12" x14ac:dyDescent="0.35">
      <c r="L310" s="22"/>
    </row>
    <row r="311" spans="12:12" x14ac:dyDescent="0.35">
      <c r="L311" s="22"/>
    </row>
    <row r="312" spans="12:12" x14ac:dyDescent="0.35">
      <c r="L312" s="22"/>
    </row>
    <row r="313" spans="12:12" x14ac:dyDescent="0.35">
      <c r="L313" s="22"/>
    </row>
    <row r="314" spans="12:12" x14ac:dyDescent="0.35">
      <c r="L314" s="22"/>
    </row>
    <row r="315" spans="12:12" x14ac:dyDescent="0.35">
      <c r="L315" s="22"/>
    </row>
    <row r="316" spans="12:12" x14ac:dyDescent="0.35">
      <c r="L316" s="22"/>
    </row>
    <row r="317" spans="12:12" x14ac:dyDescent="0.35">
      <c r="L317" s="22"/>
    </row>
    <row r="318" spans="12:12" x14ac:dyDescent="0.35">
      <c r="L318" s="22"/>
    </row>
    <row r="319" spans="12:12" x14ac:dyDescent="0.35">
      <c r="L319" s="22"/>
    </row>
    <row r="320" spans="12:12" x14ac:dyDescent="0.35">
      <c r="L320" s="22"/>
    </row>
    <row r="321" spans="12:12" x14ac:dyDescent="0.35">
      <c r="L321" s="21"/>
    </row>
    <row r="322" spans="12:12" x14ac:dyDescent="0.35">
      <c r="L322" s="21">
        <v>97.5</v>
      </c>
    </row>
    <row r="323" spans="12:12" x14ac:dyDescent="0.35">
      <c r="L323" s="22"/>
    </row>
    <row r="324" spans="12:12" x14ac:dyDescent="0.35">
      <c r="L324" s="22"/>
    </row>
    <row r="325" spans="12:12" x14ac:dyDescent="0.35">
      <c r="L325" s="22"/>
    </row>
    <row r="326" spans="12:12" x14ac:dyDescent="0.35">
      <c r="L326" s="22"/>
    </row>
    <row r="327" spans="12:12" x14ac:dyDescent="0.35">
      <c r="L327" s="22"/>
    </row>
    <row r="328" spans="12:12" x14ac:dyDescent="0.35">
      <c r="L328" s="22"/>
    </row>
    <row r="329" spans="12:12" x14ac:dyDescent="0.35">
      <c r="L329" s="22"/>
    </row>
    <row r="330" spans="12:12" x14ac:dyDescent="0.35">
      <c r="L330" s="21"/>
    </row>
    <row r="331" spans="12:12" x14ac:dyDescent="0.35">
      <c r="L331" s="21">
        <v>15</v>
      </c>
    </row>
    <row r="332" spans="12:12" x14ac:dyDescent="0.35">
      <c r="L332" s="22"/>
    </row>
    <row r="333" spans="12:12" x14ac:dyDescent="0.35">
      <c r="L333" s="22"/>
    </row>
    <row r="334" spans="12:12" x14ac:dyDescent="0.35">
      <c r="L334" s="22"/>
    </row>
    <row r="335" spans="12:12" x14ac:dyDescent="0.35">
      <c r="L335" s="22"/>
    </row>
    <row r="336" spans="12:12" x14ac:dyDescent="0.35">
      <c r="L336" s="22"/>
    </row>
    <row r="337" spans="12:12" x14ac:dyDescent="0.35">
      <c r="L337" s="22"/>
    </row>
    <row r="338" spans="12:12" x14ac:dyDescent="0.35">
      <c r="L338" s="22"/>
    </row>
    <row r="339" spans="12:12" x14ac:dyDescent="0.35">
      <c r="L339" s="22"/>
    </row>
    <row r="340" spans="12:12" x14ac:dyDescent="0.35">
      <c r="L340" s="22"/>
    </row>
    <row r="341" spans="12:12" x14ac:dyDescent="0.35">
      <c r="L341" s="22"/>
    </row>
    <row r="342" spans="12:12" x14ac:dyDescent="0.35">
      <c r="L342" s="22"/>
    </row>
    <row r="343" spans="12:12" x14ac:dyDescent="0.35">
      <c r="L343" s="21"/>
    </row>
    <row r="344" spans="12:12" x14ac:dyDescent="0.35">
      <c r="L344" s="21">
        <f>32.5/0.25*0.1</f>
        <v>13</v>
      </c>
    </row>
    <row r="345" spans="12:12" x14ac:dyDescent="0.35">
      <c r="L345" s="22"/>
    </row>
    <row r="346" spans="12:12" x14ac:dyDescent="0.35">
      <c r="L346" s="22"/>
    </row>
    <row r="347" spans="12:12" x14ac:dyDescent="0.35">
      <c r="L347" s="22"/>
    </row>
    <row r="348" spans="12:12" x14ac:dyDescent="0.35">
      <c r="L348" s="22"/>
    </row>
    <row r="349" spans="12:12" x14ac:dyDescent="0.35">
      <c r="L349" s="22"/>
    </row>
    <row r="350" spans="12:12" x14ac:dyDescent="0.35">
      <c r="L350" s="22"/>
    </row>
    <row r="351" spans="12:12" x14ac:dyDescent="0.35">
      <c r="L351" s="22"/>
    </row>
    <row r="352" spans="12:12" x14ac:dyDescent="0.35">
      <c r="L352" s="21"/>
    </row>
    <row r="353" spans="12:12" x14ac:dyDescent="0.35">
      <c r="L353" s="21">
        <v>97.5</v>
      </c>
    </row>
    <row r="354" spans="12:12" x14ac:dyDescent="0.35">
      <c r="L354" s="22"/>
    </row>
    <row r="355" spans="12:12" x14ac:dyDescent="0.35">
      <c r="L355" s="22"/>
    </row>
    <row r="356" spans="12:12" x14ac:dyDescent="0.35">
      <c r="L356" s="22"/>
    </row>
    <row r="357" spans="12:12" x14ac:dyDescent="0.35">
      <c r="L357" s="22"/>
    </row>
    <row r="358" spans="12:12" x14ac:dyDescent="0.35">
      <c r="L358" s="22"/>
    </row>
    <row r="359" spans="12:12" x14ac:dyDescent="0.35">
      <c r="L359" s="22"/>
    </row>
    <row r="360" spans="12:12" x14ac:dyDescent="0.35">
      <c r="L360" s="22"/>
    </row>
    <row r="361" spans="12:12" x14ac:dyDescent="0.35">
      <c r="L361" s="21"/>
    </row>
    <row r="362" spans="12:12" x14ac:dyDescent="0.35">
      <c r="L362" s="21">
        <f>32.5*0.5</f>
        <v>16.25</v>
      </c>
    </row>
    <row r="363" spans="12:12" x14ac:dyDescent="0.35">
      <c r="L363" s="22"/>
    </row>
    <row r="364" spans="12:12" x14ac:dyDescent="0.35">
      <c r="L364" s="22"/>
    </row>
    <row r="365" spans="12:12" x14ac:dyDescent="0.35">
      <c r="L365" s="22"/>
    </row>
    <row r="366" spans="12:12" x14ac:dyDescent="0.35">
      <c r="L366" s="22"/>
    </row>
    <row r="367" spans="12:12" x14ac:dyDescent="0.35">
      <c r="L367" s="22"/>
    </row>
    <row r="368" spans="12:12" x14ac:dyDescent="0.35">
      <c r="L368" s="22"/>
    </row>
    <row r="369" spans="12:12" x14ac:dyDescent="0.35">
      <c r="L369" s="22"/>
    </row>
    <row r="370" spans="12:12" x14ac:dyDescent="0.35">
      <c r="L370" s="21"/>
    </row>
    <row r="371" spans="12:12" x14ac:dyDescent="0.35">
      <c r="L371" s="21">
        <f>32.5/0.25*0.1</f>
        <v>13</v>
      </c>
    </row>
    <row r="372" spans="12:12" x14ac:dyDescent="0.35">
      <c r="L372" s="22"/>
    </row>
    <row r="373" spans="12:12" x14ac:dyDescent="0.35">
      <c r="L373" s="22"/>
    </row>
    <row r="374" spans="12:12" x14ac:dyDescent="0.35">
      <c r="L374" s="22"/>
    </row>
    <row r="375" spans="12:12" x14ac:dyDescent="0.35">
      <c r="L375" s="22"/>
    </row>
    <row r="376" spans="12:12" x14ac:dyDescent="0.35">
      <c r="L376" s="22"/>
    </row>
    <row r="377" spans="12:12" x14ac:dyDescent="0.35">
      <c r="L377" s="22"/>
    </row>
    <row r="378" spans="12:12" x14ac:dyDescent="0.35">
      <c r="L378" s="22"/>
    </row>
    <row r="379" spans="12:12" x14ac:dyDescent="0.35">
      <c r="L379" s="21"/>
    </row>
    <row r="380" spans="12:12" x14ac:dyDescent="0.35">
      <c r="L38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78"/>
  <sheetViews>
    <sheetView workbookViewId="0"/>
  </sheetViews>
  <sheetFormatPr defaultRowHeight="14.5" outlineLevelRow="1" outlineLevelCol="1" x14ac:dyDescent="0.35"/>
  <cols>
    <col min="2" max="2" width="34.6328125" customWidth="1"/>
    <col min="3" max="3" width="13.453125" style="82" hidden="1" customWidth="1" outlineLevel="1"/>
    <col min="4" max="4" width="10.08984375" style="82" hidden="1" customWidth="1" outlineLevel="1"/>
    <col min="5" max="5" width="9.08984375" hidden="1" customWidth="1" outlineLevel="1"/>
    <col min="6" max="6" width="9.54296875" bestFit="1" customWidth="1" collapsed="1"/>
    <col min="11" max="11" width="10.54296875" bestFit="1" customWidth="1"/>
    <col min="17" max="17" width="14.54296875" bestFit="1" customWidth="1"/>
    <col min="20" max="20" width="11.54296875" bestFit="1" customWidth="1"/>
  </cols>
  <sheetData>
    <row r="2" spans="1:24" x14ac:dyDescent="0.35">
      <c r="A2" s="1"/>
      <c r="B2" s="59" t="str">
        <f>+Summary!B2</f>
        <v>New1 Warehouse and Office</v>
      </c>
      <c r="F2" s="1"/>
      <c r="G2" s="1"/>
      <c r="H2" s="1"/>
      <c r="I2" s="1"/>
      <c r="J2" s="4"/>
      <c r="K2" s="4"/>
      <c r="L2" s="11"/>
      <c r="M2" s="11"/>
      <c r="N2" s="11"/>
      <c r="O2" s="11"/>
      <c r="P2" s="3" t="s">
        <v>18</v>
      </c>
      <c r="Q2" s="1" t="s">
        <v>245</v>
      </c>
    </row>
    <row r="3" spans="1:24" x14ac:dyDescent="0.35">
      <c r="A3" s="1"/>
      <c r="B3" s="59" t="s">
        <v>151</v>
      </c>
      <c r="F3" s="1"/>
      <c r="G3" s="1"/>
      <c r="H3" s="1"/>
      <c r="I3" s="1"/>
      <c r="J3" s="4"/>
      <c r="K3" s="4"/>
      <c r="L3" s="11"/>
      <c r="M3" s="11"/>
      <c r="N3" s="11"/>
      <c r="O3" s="11"/>
      <c r="P3" s="11"/>
      <c r="Q3" s="11"/>
    </row>
    <row r="4" spans="1:24" x14ac:dyDescent="0.35">
      <c r="A4" s="1"/>
      <c r="F4" s="1"/>
      <c r="G4" s="1"/>
      <c r="H4" s="1"/>
      <c r="I4" s="1"/>
      <c r="J4" s="4"/>
      <c r="K4" s="4"/>
      <c r="L4" s="11"/>
      <c r="M4" s="11"/>
      <c r="N4" s="11"/>
      <c r="O4" s="11"/>
      <c r="P4" s="11"/>
      <c r="Q4" s="11"/>
      <c r="X4" s="1"/>
    </row>
    <row r="5" spans="1:24" ht="15" thickBot="1" x14ac:dyDescent="0.4">
      <c r="A5" s="1"/>
      <c r="F5" s="1"/>
      <c r="G5" s="1"/>
      <c r="H5" s="1"/>
      <c r="I5" s="1"/>
      <c r="J5" s="4"/>
      <c r="K5" s="4"/>
      <c r="L5" s="11"/>
      <c r="M5" s="11"/>
      <c r="N5" s="11"/>
      <c r="O5" s="11"/>
      <c r="P5" s="11"/>
      <c r="Q5" s="11"/>
    </row>
    <row r="6" spans="1:24" s="5" customFormat="1" ht="29.5" thickBot="1" x14ac:dyDescent="0.4">
      <c r="A6" s="31" t="s">
        <v>0</v>
      </c>
      <c r="B6" s="32" t="s">
        <v>1</v>
      </c>
      <c r="C6" s="83"/>
      <c r="D6" s="83"/>
      <c r="E6" s="32"/>
      <c r="F6" s="33" t="s">
        <v>2</v>
      </c>
      <c r="G6" s="33" t="s">
        <v>3</v>
      </c>
      <c r="H6" s="33" t="s">
        <v>4</v>
      </c>
      <c r="I6" s="33" t="s">
        <v>9</v>
      </c>
      <c r="J6" s="34" t="s">
        <v>5</v>
      </c>
      <c r="K6" s="34" t="s">
        <v>6</v>
      </c>
      <c r="L6" s="35" t="s">
        <v>7</v>
      </c>
      <c r="M6" s="37" t="s">
        <v>12</v>
      </c>
      <c r="N6" s="37" t="s">
        <v>13</v>
      </c>
      <c r="O6" s="37" t="s">
        <v>11</v>
      </c>
      <c r="P6" s="37" t="s">
        <v>17</v>
      </c>
      <c r="Q6" s="36" t="s">
        <v>8</v>
      </c>
      <c r="S6" s="48" t="s">
        <v>20</v>
      </c>
      <c r="T6" s="48" t="s">
        <v>19</v>
      </c>
      <c r="U6" s="48"/>
      <c r="V6" s="48" t="s">
        <v>21</v>
      </c>
    </row>
    <row r="7" spans="1:24" x14ac:dyDescent="0.35">
      <c r="A7" s="29"/>
      <c r="B7" s="55"/>
      <c r="C7" s="84"/>
      <c r="D7" s="84"/>
      <c r="E7" s="55"/>
      <c r="F7" s="29"/>
      <c r="G7" s="29"/>
      <c r="H7" s="29"/>
      <c r="I7" s="29"/>
      <c r="J7" s="42"/>
      <c r="K7" s="42"/>
      <c r="L7" s="30"/>
      <c r="M7" s="38"/>
      <c r="N7" s="39"/>
      <c r="O7" s="30"/>
      <c r="P7" s="30"/>
      <c r="Q7" s="44"/>
      <c r="S7" s="3"/>
      <c r="T7" s="3"/>
      <c r="U7" s="3"/>
      <c r="V7" s="3"/>
    </row>
    <row r="8" spans="1:24" x14ac:dyDescent="0.35">
      <c r="A8" s="29"/>
      <c r="B8" s="68" t="s">
        <v>152</v>
      </c>
      <c r="C8" s="84"/>
      <c r="D8" s="84"/>
      <c r="E8" s="55"/>
      <c r="F8" s="29"/>
      <c r="G8" s="29"/>
      <c r="H8" s="29"/>
      <c r="I8" s="29"/>
      <c r="J8" s="42"/>
      <c r="K8" s="42"/>
      <c r="L8" s="30"/>
      <c r="M8" s="38"/>
      <c r="N8" s="39"/>
      <c r="O8" s="30"/>
      <c r="P8" s="30"/>
      <c r="Q8" s="44"/>
      <c r="S8" s="3"/>
      <c r="T8" s="3"/>
      <c r="U8" s="3"/>
      <c r="V8" s="3"/>
    </row>
    <row r="9" spans="1:24" x14ac:dyDescent="0.35">
      <c r="A9" s="6">
        <v>1</v>
      </c>
      <c r="B9" s="57" t="s">
        <v>153</v>
      </c>
      <c r="C9" s="85"/>
      <c r="D9" s="85"/>
      <c r="E9" s="57"/>
      <c r="F9" s="58">
        <v>5662</v>
      </c>
      <c r="G9" s="6" t="s">
        <v>154</v>
      </c>
      <c r="H9" s="6"/>
      <c r="I9" s="6" t="str">
        <f>+$Q$2</f>
        <v>??</v>
      </c>
      <c r="J9" s="14" t="e">
        <f>+F9*H9*I9</f>
        <v>#VALUE!</v>
      </c>
      <c r="K9" s="14"/>
      <c r="L9" s="21"/>
      <c r="M9" s="46">
        <v>2.5000000000000001E-2</v>
      </c>
      <c r="N9" s="40">
        <f>+L9*M9</f>
        <v>0</v>
      </c>
      <c r="O9" s="21"/>
      <c r="P9" s="21"/>
      <c r="Q9" s="45">
        <f>+(F9*L9)+(F9*N9)+O9+P9</f>
        <v>0</v>
      </c>
      <c r="S9" s="53" t="e">
        <f>+T9/F9</f>
        <v>#VALUE!</v>
      </c>
      <c r="T9" s="49" t="e">
        <f>+J9+K9+Q9</f>
        <v>#VALUE!</v>
      </c>
      <c r="U9" s="49"/>
      <c r="V9" s="53">
        <f>+F9*H9</f>
        <v>0</v>
      </c>
    </row>
    <row r="10" spans="1:24" s="2" customFormat="1" hidden="1" outlineLevel="1" x14ac:dyDescent="0.35">
      <c r="A10" s="8"/>
      <c r="B10" s="9" t="s">
        <v>123</v>
      </c>
      <c r="C10" s="22">
        <v>3.5</v>
      </c>
      <c r="D10" s="22">
        <f>3/0.2+1</f>
        <v>16</v>
      </c>
      <c r="E10" s="9">
        <f>4*4</f>
        <v>16</v>
      </c>
      <c r="F10" s="10">
        <f>+C10*D10*E10</f>
        <v>896</v>
      </c>
      <c r="G10" s="10"/>
      <c r="H10" s="10"/>
      <c r="I10" s="10"/>
      <c r="J10" s="14"/>
      <c r="K10" s="14"/>
      <c r="L10" s="22"/>
      <c r="M10" s="47"/>
      <c r="N10" s="41"/>
      <c r="O10" s="22"/>
      <c r="P10" s="22"/>
      <c r="Q10" s="45"/>
      <c r="S10" s="50"/>
      <c r="T10" s="50"/>
      <c r="U10" s="50"/>
      <c r="V10" s="50"/>
    </row>
    <row r="11" spans="1:24" s="2" customFormat="1" hidden="1" outlineLevel="1" x14ac:dyDescent="0.35">
      <c r="A11" s="8"/>
      <c r="B11" s="9" t="s">
        <v>124</v>
      </c>
      <c r="C11" s="22">
        <v>3</v>
      </c>
      <c r="D11" s="22">
        <f>2.5/0.2+1</f>
        <v>13.5</v>
      </c>
      <c r="E11" s="9">
        <f>4*3</f>
        <v>12</v>
      </c>
      <c r="F11" s="10">
        <f t="shared" ref="F11:F14" si="0">+C11*D11*E11</f>
        <v>486</v>
      </c>
      <c r="G11" s="10"/>
      <c r="H11" s="10"/>
      <c r="I11" s="10"/>
      <c r="J11" s="14"/>
      <c r="K11" s="14"/>
      <c r="L11" s="22"/>
      <c r="M11" s="47"/>
      <c r="N11" s="41"/>
      <c r="O11" s="22"/>
      <c r="P11" s="22"/>
      <c r="Q11" s="45"/>
      <c r="S11" s="50"/>
      <c r="T11" s="50"/>
      <c r="U11" s="50"/>
      <c r="V11" s="50"/>
    </row>
    <row r="12" spans="1:24" s="2" customFormat="1" hidden="1" outlineLevel="1" x14ac:dyDescent="0.35">
      <c r="A12" s="8"/>
      <c r="B12" s="9" t="s">
        <v>125</v>
      </c>
      <c r="C12" s="22">
        <v>3</v>
      </c>
      <c r="D12" s="22">
        <f>2.5/0.2+1</f>
        <v>13.5</v>
      </c>
      <c r="E12" s="9">
        <f>4*2</f>
        <v>8</v>
      </c>
      <c r="F12" s="10">
        <f t="shared" si="0"/>
        <v>324</v>
      </c>
      <c r="G12" s="10"/>
      <c r="H12" s="10"/>
      <c r="I12" s="10"/>
      <c r="J12" s="14"/>
      <c r="K12" s="14"/>
      <c r="L12" s="22"/>
      <c r="M12" s="47"/>
      <c r="N12" s="41"/>
      <c r="O12" s="22"/>
      <c r="P12" s="22"/>
      <c r="Q12" s="45"/>
      <c r="S12" s="50"/>
      <c r="T12" s="50"/>
      <c r="U12" s="50"/>
      <c r="V12" s="50"/>
    </row>
    <row r="13" spans="1:24" s="2" customFormat="1" hidden="1" outlineLevel="1" x14ac:dyDescent="0.35">
      <c r="A13" s="8"/>
      <c r="B13" s="9" t="s">
        <v>127</v>
      </c>
      <c r="C13" s="22">
        <v>2.6</v>
      </c>
      <c r="D13" s="22">
        <f>3.5/0.2+1</f>
        <v>18.5</v>
      </c>
      <c r="E13" s="9">
        <v>2</v>
      </c>
      <c r="F13" s="10">
        <f t="shared" si="0"/>
        <v>96.2</v>
      </c>
      <c r="G13" s="10"/>
      <c r="H13" s="10"/>
      <c r="I13" s="10"/>
      <c r="J13" s="14"/>
      <c r="K13" s="14"/>
      <c r="L13" s="22"/>
      <c r="M13" s="47"/>
      <c r="N13" s="41"/>
      <c r="O13" s="22"/>
      <c r="P13" s="22"/>
      <c r="Q13" s="45"/>
      <c r="S13" s="50"/>
      <c r="T13" s="50"/>
      <c r="U13" s="50"/>
      <c r="V13" s="50"/>
    </row>
    <row r="14" spans="1:24" s="2" customFormat="1" hidden="1" outlineLevel="1" x14ac:dyDescent="0.35">
      <c r="A14" s="8"/>
      <c r="B14" s="9"/>
      <c r="C14" s="22">
        <v>4</v>
      </c>
      <c r="D14" s="22">
        <f>2.1/0.2+1</f>
        <v>11.5</v>
      </c>
      <c r="E14" s="9">
        <v>2</v>
      </c>
      <c r="F14" s="10">
        <f t="shared" si="0"/>
        <v>92</v>
      </c>
      <c r="G14" s="10"/>
      <c r="H14" s="10"/>
      <c r="I14" s="10"/>
      <c r="J14" s="14"/>
      <c r="K14" s="14"/>
      <c r="L14" s="22"/>
      <c r="M14" s="47"/>
      <c r="N14" s="41"/>
      <c r="O14" s="22"/>
      <c r="P14" s="22"/>
      <c r="Q14" s="45"/>
      <c r="S14" s="50"/>
      <c r="T14" s="50"/>
      <c r="U14" s="50"/>
      <c r="V14" s="50"/>
    </row>
    <row r="15" spans="1:24" s="2" customFormat="1" hidden="1" outlineLevel="1" x14ac:dyDescent="0.35">
      <c r="A15" s="8"/>
      <c r="B15" s="9"/>
      <c r="C15" s="22"/>
      <c r="D15" s="22"/>
      <c r="E15" s="9"/>
      <c r="F15" s="10"/>
      <c r="G15" s="10"/>
      <c r="H15" s="10"/>
      <c r="I15" s="10"/>
      <c r="J15" s="14"/>
      <c r="K15" s="14"/>
      <c r="L15" s="22"/>
      <c r="M15" s="47"/>
      <c r="N15" s="41"/>
      <c r="O15" s="22"/>
      <c r="P15" s="22"/>
      <c r="Q15" s="45"/>
      <c r="S15" s="50"/>
      <c r="T15" s="50"/>
      <c r="U15" s="50"/>
      <c r="V15" s="50"/>
    </row>
    <row r="16" spans="1:24" s="2" customFormat="1" hidden="1" outlineLevel="1" x14ac:dyDescent="0.35">
      <c r="A16" s="8"/>
      <c r="B16" s="9">
        <f>+D16/C16</f>
        <v>4.2093333333333334</v>
      </c>
      <c r="C16" s="22">
        <v>75</v>
      </c>
      <c r="D16" s="22">
        <f>+F16/6</f>
        <v>315.7</v>
      </c>
      <c r="E16" s="9"/>
      <c r="F16" s="10">
        <f>SUM(F10:F15)</f>
        <v>1894.2</v>
      </c>
      <c r="G16" s="10"/>
      <c r="H16" s="10"/>
      <c r="I16" s="10"/>
      <c r="J16" s="14"/>
      <c r="K16" s="14"/>
      <c r="L16" s="22"/>
      <c r="M16" s="47"/>
      <c r="N16" s="41"/>
      <c r="O16" s="22"/>
      <c r="P16" s="22"/>
      <c r="Q16" s="45"/>
      <c r="S16" s="50"/>
      <c r="T16" s="50"/>
      <c r="U16" s="50"/>
      <c r="V16" s="50"/>
    </row>
    <row r="17" spans="1:22" s="2" customFormat="1" hidden="1" outlineLevel="1" x14ac:dyDescent="0.35">
      <c r="A17" s="8"/>
      <c r="B17" s="9"/>
      <c r="C17" s="22"/>
      <c r="D17" s="22" t="s">
        <v>154</v>
      </c>
      <c r="E17" s="9"/>
      <c r="F17" s="10">
        <v>2.4660000000000002</v>
      </c>
      <c r="G17" s="10"/>
      <c r="H17" s="10"/>
      <c r="I17" s="10"/>
      <c r="J17" s="14"/>
      <c r="K17" s="14"/>
      <c r="L17" s="22"/>
      <c r="M17" s="47"/>
      <c r="N17" s="41"/>
      <c r="O17" s="22"/>
      <c r="P17" s="22"/>
      <c r="Q17" s="45"/>
      <c r="S17" s="50"/>
      <c r="T17" s="50"/>
      <c r="U17" s="50"/>
      <c r="V17" s="50"/>
    </row>
    <row r="18" spans="1:22" s="2" customFormat="1" hidden="1" outlineLevel="1" x14ac:dyDescent="0.35">
      <c r="A18" s="8"/>
      <c r="B18" s="9"/>
      <c r="C18" s="22"/>
      <c r="D18" s="22"/>
      <c r="E18" s="9"/>
      <c r="F18" s="10"/>
      <c r="G18" s="10"/>
      <c r="H18" s="10"/>
      <c r="I18" s="10"/>
      <c r="J18" s="14"/>
      <c r="K18" s="14"/>
      <c r="L18" s="22"/>
      <c r="M18" s="47"/>
      <c r="N18" s="41"/>
      <c r="O18" s="22"/>
      <c r="P18" s="22"/>
      <c r="Q18" s="45"/>
      <c r="S18" s="50"/>
      <c r="T18" s="50"/>
      <c r="U18" s="50"/>
      <c r="V18" s="50"/>
    </row>
    <row r="19" spans="1:22" s="2" customFormat="1" hidden="1" outlineLevel="1" x14ac:dyDescent="0.35">
      <c r="A19" s="8"/>
      <c r="B19" s="9"/>
      <c r="C19" s="22"/>
      <c r="D19" s="22"/>
      <c r="E19" s="9"/>
      <c r="F19" s="10">
        <f>+F16*F17</f>
        <v>4671.0972000000002</v>
      </c>
      <c r="G19" s="10"/>
      <c r="H19" s="10"/>
      <c r="I19" s="10"/>
      <c r="J19" s="14"/>
      <c r="K19" s="14"/>
      <c r="L19" s="22"/>
      <c r="M19" s="47"/>
      <c r="N19" s="41"/>
      <c r="O19" s="22"/>
      <c r="P19" s="22"/>
      <c r="Q19" s="45"/>
      <c r="S19" s="50"/>
      <c r="T19" s="50"/>
      <c r="U19" s="50"/>
      <c r="V19" s="50"/>
    </row>
    <row r="20" spans="1:22" collapsed="1" x14ac:dyDescent="0.35">
      <c r="A20" s="6"/>
      <c r="B20" s="56"/>
      <c r="C20" s="86"/>
      <c r="D20" s="86"/>
      <c r="E20" s="56"/>
      <c r="F20" s="6"/>
      <c r="G20" s="6"/>
      <c r="H20" s="6"/>
      <c r="I20" s="6"/>
      <c r="J20" s="14"/>
      <c r="K20" s="14"/>
      <c r="L20" s="21"/>
      <c r="M20" s="46"/>
      <c r="N20" s="40"/>
      <c r="O20" s="21"/>
      <c r="P20" s="21"/>
      <c r="Q20" s="45"/>
      <c r="S20" s="3"/>
      <c r="T20" s="3"/>
      <c r="U20" s="3"/>
      <c r="V20" s="3"/>
    </row>
    <row r="21" spans="1:22" x14ac:dyDescent="0.35">
      <c r="A21" s="6">
        <f>+A9+1</f>
        <v>2</v>
      </c>
      <c r="B21" s="57" t="s">
        <v>155</v>
      </c>
      <c r="C21" s="85"/>
      <c r="D21" s="85"/>
      <c r="E21" s="57"/>
      <c r="F21" s="58">
        <v>336</v>
      </c>
      <c r="G21" s="6" t="s">
        <v>154</v>
      </c>
      <c r="H21" s="6"/>
      <c r="I21" s="6" t="str">
        <f>+$Q$2</f>
        <v>??</v>
      </c>
      <c r="J21" s="14" t="e">
        <f>+F21*H21*I21</f>
        <v>#VALUE!</v>
      </c>
      <c r="K21" s="14"/>
      <c r="L21" s="21"/>
      <c r="M21" s="46">
        <v>2.5000000000000001E-2</v>
      </c>
      <c r="N21" s="40">
        <f>+L21*M21</f>
        <v>0</v>
      </c>
      <c r="O21" s="21"/>
      <c r="P21" s="21"/>
      <c r="Q21" s="45">
        <f>+(F21*L21)+(F21*N21)+O21+P21</f>
        <v>0</v>
      </c>
      <c r="S21" s="53" t="e">
        <f>+T21/F21</f>
        <v>#VALUE!</v>
      </c>
      <c r="T21" s="49" t="e">
        <f>+J21+K21+Q21</f>
        <v>#VALUE!</v>
      </c>
      <c r="U21" s="49"/>
      <c r="V21" s="53">
        <f>+F21*H21</f>
        <v>0</v>
      </c>
    </row>
    <row r="22" spans="1:22" s="2" customFormat="1" hidden="1" outlineLevel="1" x14ac:dyDescent="0.35">
      <c r="A22" s="8"/>
      <c r="B22" s="9" t="s">
        <v>126</v>
      </c>
      <c r="C22" s="22">
        <v>1.7</v>
      </c>
      <c r="D22" s="22">
        <f>2.7/0.2+1</f>
        <v>14.5</v>
      </c>
      <c r="E22" s="9">
        <v>2</v>
      </c>
      <c r="F22" s="10">
        <f t="shared" ref="F22:F24" si="1">+C22*D22*E22</f>
        <v>49.3</v>
      </c>
      <c r="G22" s="10"/>
      <c r="H22" s="10"/>
      <c r="I22" s="10"/>
      <c r="J22" s="14"/>
      <c r="K22" s="14"/>
      <c r="L22" s="22"/>
      <c r="M22" s="47"/>
      <c r="N22" s="41"/>
      <c r="O22" s="22"/>
      <c r="P22" s="22"/>
      <c r="Q22" s="45"/>
      <c r="S22" s="50"/>
      <c r="T22" s="50"/>
      <c r="U22" s="50"/>
      <c r="V22" s="50"/>
    </row>
    <row r="23" spans="1:22" s="2" customFormat="1" hidden="1" outlineLevel="1" x14ac:dyDescent="0.35">
      <c r="A23" s="8"/>
      <c r="B23" s="9"/>
      <c r="C23" s="22">
        <v>3.2</v>
      </c>
      <c r="D23" s="22">
        <f>1.2/0.2+1</f>
        <v>6.9999999999999991</v>
      </c>
      <c r="E23" s="9">
        <v>2</v>
      </c>
      <c r="F23" s="10">
        <f t="shared" si="1"/>
        <v>44.8</v>
      </c>
      <c r="G23" s="10"/>
      <c r="H23" s="10"/>
      <c r="I23" s="10"/>
      <c r="J23" s="14"/>
      <c r="K23" s="14"/>
      <c r="L23" s="22"/>
      <c r="M23" s="47"/>
      <c r="N23" s="41"/>
      <c r="O23" s="22"/>
      <c r="P23" s="22"/>
      <c r="Q23" s="45"/>
      <c r="S23" s="50"/>
      <c r="T23" s="50"/>
      <c r="U23" s="50"/>
      <c r="V23" s="50"/>
    </row>
    <row r="24" spans="1:22" s="2" customFormat="1" hidden="1" outlineLevel="1" x14ac:dyDescent="0.35">
      <c r="A24" s="8"/>
      <c r="B24" s="9" t="s">
        <v>128</v>
      </c>
      <c r="C24" s="22">
        <v>2</v>
      </c>
      <c r="D24" s="22">
        <f>1.5/0.2+1</f>
        <v>8.5</v>
      </c>
      <c r="E24" s="9">
        <v>4</v>
      </c>
      <c r="F24" s="10">
        <f t="shared" si="1"/>
        <v>68</v>
      </c>
      <c r="G24" s="10"/>
      <c r="H24" s="10"/>
      <c r="I24" s="10"/>
      <c r="J24" s="14"/>
      <c r="K24" s="14"/>
      <c r="L24" s="22"/>
      <c r="M24" s="47"/>
      <c r="N24" s="41"/>
      <c r="O24" s="22"/>
      <c r="P24" s="22"/>
      <c r="Q24" s="45"/>
      <c r="S24" s="50"/>
      <c r="T24" s="50"/>
      <c r="U24" s="50"/>
      <c r="V24" s="50"/>
    </row>
    <row r="25" spans="1:22" s="2" customFormat="1" hidden="1" outlineLevel="1" x14ac:dyDescent="0.35">
      <c r="A25" s="8"/>
      <c r="B25" s="9"/>
      <c r="C25" s="22"/>
      <c r="D25" s="22"/>
      <c r="E25" s="9"/>
      <c r="F25" s="10"/>
      <c r="G25" s="10"/>
      <c r="H25" s="10"/>
      <c r="I25" s="10"/>
      <c r="J25" s="14"/>
      <c r="K25" s="14"/>
      <c r="L25" s="22"/>
      <c r="M25" s="47"/>
      <c r="N25" s="41"/>
      <c r="O25" s="22"/>
      <c r="P25" s="22"/>
      <c r="Q25" s="45"/>
      <c r="S25" s="50"/>
      <c r="T25" s="50"/>
      <c r="U25" s="50"/>
      <c r="V25" s="50"/>
    </row>
    <row r="26" spans="1:22" s="2" customFormat="1" hidden="1" outlineLevel="1" x14ac:dyDescent="0.35">
      <c r="A26" s="8"/>
      <c r="B26" s="9">
        <f>+D26/C26</f>
        <v>1.678053830227743</v>
      </c>
      <c r="C26" s="22">
        <v>16.100000000000001</v>
      </c>
      <c r="D26" s="22">
        <f>+F26/6</f>
        <v>27.016666666666666</v>
      </c>
      <c r="E26" s="9"/>
      <c r="F26" s="10">
        <f>SUM(F22:F25)</f>
        <v>162.1</v>
      </c>
      <c r="G26" s="10"/>
      <c r="H26" s="10"/>
      <c r="I26" s="10"/>
      <c r="J26" s="14"/>
      <c r="K26" s="14"/>
      <c r="L26" s="22"/>
      <c r="M26" s="47"/>
      <c r="N26" s="41"/>
      <c r="O26" s="22"/>
      <c r="P26" s="22"/>
      <c r="Q26" s="45"/>
      <c r="S26" s="50"/>
      <c r="T26" s="50"/>
      <c r="U26" s="50"/>
      <c r="V26" s="50"/>
    </row>
    <row r="27" spans="1:22" s="2" customFormat="1" hidden="1" outlineLevel="1" x14ac:dyDescent="0.35">
      <c r="A27" s="8"/>
      <c r="B27" s="9"/>
      <c r="C27" s="22"/>
      <c r="D27" s="22" t="s">
        <v>154</v>
      </c>
      <c r="E27" s="9"/>
      <c r="F27" s="10">
        <v>1.5780000000000001</v>
      </c>
      <c r="G27" s="10"/>
      <c r="H27" s="10"/>
      <c r="I27" s="10"/>
      <c r="J27" s="14"/>
      <c r="K27" s="14"/>
      <c r="L27" s="22"/>
      <c r="M27" s="47"/>
      <c r="N27" s="41"/>
      <c r="O27" s="22"/>
      <c r="P27" s="22"/>
      <c r="Q27" s="45"/>
      <c r="S27" s="50"/>
      <c r="T27" s="50"/>
      <c r="U27" s="50"/>
      <c r="V27" s="50"/>
    </row>
    <row r="28" spans="1:22" s="2" customFormat="1" hidden="1" outlineLevel="1" x14ac:dyDescent="0.35">
      <c r="A28" s="8"/>
      <c r="B28" s="9"/>
      <c r="C28" s="22"/>
      <c r="D28" s="22"/>
      <c r="E28" s="9"/>
      <c r="F28" s="10"/>
      <c r="G28" s="10"/>
      <c r="H28" s="10"/>
      <c r="I28" s="10"/>
      <c r="J28" s="14"/>
      <c r="K28" s="14"/>
      <c r="L28" s="22"/>
      <c r="M28" s="47"/>
      <c r="N28" s="41"/>
      <c r="O28" s="22"/>
      <c r="P28" s="22"/>
      <c r="Q28" s="45"/>
      <c r="S28" s="50"/>
      <c r="T28" s="50"/>
      <c r="U28" s="50"/>
      <c r="V28" s="50"/>
    </row>
    <row r="29" spans="1:22" s="2" customFormat="1" hidden="1" outlineLevel="1" x14ac:dyDescent="0.35">
      <c r="A29" s="8"/>
      <c r="B29" s="9"/>
      <c r="C29" s="22"/>
      <c r="D29" s="22"/>
      <c r="E29" s="9"/>
      <c r="F29" s="10">
        <f>+F26*F27</f>
        <v>255.7938</v>
      </c>
      <c r="G29" s="10"/>
      <c r="H29" s="10"/>
      <c r="I29" s="10"/>
      <c r="J29" s="14"/>
      <c r="K29" s="14"/>
      <c r="L29" s="22"/>
      <c r="M29" s="47"/>
      <c r="N29" s="41"/>
      <c r="O29" s="22"/>
      <c r="P29" s="22"/>
      <c r="Q29" s="45"/>
      <c r="S29" s="50"/>
      <c r="T29" s="50"/>
      <c r="U29" s="50"/>
      <c r="V29" s="50"/>
    </row>
    <row r="30" spans="1:22" collapsed="1" x14ac:dyDescent="0.35">
      <c r="A30" s="6"/>
      <c r="B30" s="56"/>
      <c r="C30" s="86"/>
      <c r="D30" s="86"/>
      <c r="E30" s="56"/>
      <c r="F30" s="6"/>
      <c r="G30" s="6"/>
      <c r="H30" s="6"/>
      <c r="I30" s="6"/>
      <c r="J30" s="14"/>
      <c r="K30" s="14"/>
      <c r="L30" s="21"/>
      <c r="M30" s="46"/>
      <c r="N30" s="40"/>
      <c r="O30" s="21"/>
      <c r="P30" s="21"/>
      <c r="Q30" s="45"/>
      <c r="S30" s="3"/>
      <c r="T30" s="3"/>
      <c r="U30" s="3"/>
      <c r="V30" s="3"/>
    </row>
    <row r="31" spans="1:22" x14ac:dyDescent="0.35">
      <c r="A31" s="6">
        <f>+A21+1</f>
        <v>3</v>
      </c>
      <c r="B31" s="57" t="s">
        <v>157</v>
      </c>
      <c r="C31" s="85"/>
      <c r="D31" s="85"/>
      <c r="E31" s="57"/>
      <c r="F31" s="58">
        <v>66</v>
      </c>
      <c r="G31" s="6" t="s">
        <v>154</v>
      </c>
      <c r="H31" s="6"/>
      <c r="I31" s="6" t="str">
        <f>+$Q$2</f>
        <v>??</v>
      </c>
      <c r="J31" s="14" t="e">
        <f>+F31*H31*I31</f>
        <v>#VALUE!</v>
      </c>
      <c r="K31" s="14"/>
      <c r="L31" s="21"/>
      <c r="M31" s="46">
        <v>2.5000000000000001E-2</v>
      </c>
      <c r="N31" s="40">
        <f>+L31*M31</f>
        <v>0</v>
      </c>
      <c r="O31" s="21"/>
      <c r="P31" s="21"/>
      <c r="Q31" s="45">
        <f>+(F31*L31)+(F31*N31)+O31+P31</f>
        <v>0</v>
      </c>
      <c r="S31" s="53" t="e">
        <f>+T31/F31</f>
        <v>#VALUE!</v>
      </c>
      <c r="T31" s="49" t="e">
        <f>+J31+K31+Q31</f>
        <v>#VALUE!</v>
      </c>
      <c r="U31" s="49"/>
      <c r="V31" s="53">
        <f>+F31*H31</f>
        <v>0</v>
      </c>
    </row>
    <row r="32" spans="1:22" s="2" customFormat="1" hidden="1" outlineLevel="1" x14ac:dyDescent="0.35">
      <c r="A32" s="8"/>
      <c r="B32" s="9" t="s">
        <v>156</v>
      </c>
      <c r="C32" s="22">
        <v>1.5</v>
      </c>
      <c r="D32" s="22">
        <v>1</v>
      </c>
      <c r="E32" s="9">
        <v>11</v>
      </c>
      <c r="F32" s="10">
        <f t="shared" ref="F32:F33" si="2">+C32*D32*E32</f>
        <v>16.5</v>
      </c>
      <c r="G32" s="10"/>
      <c r="H32" s="10"/>
      <c r="I32" s="10"/>
      <c r="J32" s="14"/>
      <c r="K32" s="14"/>
      <c r="L32" s="22"/>
      <c r="M32" s="47"/>
      <c r="N32" s="41"/>
      <c r="O32" s="22"/>
      <c r="P32" s="22"/>
      <c r="Q32" s="45"/>
      <c r="S32" s="50"/>
      <c r="T32" s="50"/>
      <c r="U32" s="50"/>
      <c r="V32" s="50"/>
    </row>
    <row r="33" spans="1:22" s="2" customFormat="1" hidden="1" outlineLevel="1" x14ac:dyDescent="0.35">
      <c r="A33" s="8"/>
      <c r="B33" s="9"/>
      <c r="C33" s="22">
        <v>2.4</v>
      </c>
      <c r="D33" s="22">
        <f>1.5/0.1+1</f>
        <v>16</v>
      </c>
      <c r="E33" s="9">
        <v>1</v>
      </c>
      <c r="F33" s="10">
        <f t="shared" si="2"/>
        <v>38.4</v>
      </c>
      <c r="G33" s="10"/>
      <c r="H33" s="10"/>
      <c r="I33" s="10"/>
      <c r="J33" s="14"/>
      <c r="K33" s="14"/>
      <c r="L33" s="22"/>
      <c r="M33" s="47"/>
      <c r="N33" s="41"/>
      <c r="O33" s="22"/>
      <c r="P33" s="22"/>
      <c r="Q33" s="45"/>
      <c r="S33" s="50"/>
      <c r="T33" s="50"/>
      <c r="U33" s="50"/>
      <c r="V33" s="50"/>
    </row>
    <row r="34" spans="1:22" s="2" customFormat="1" hidden="1" outlineLevel="1" x14ac:dyDescent="0.35">
      <c r="A34" s="8"/>
      <c r="B34" s="9"/>
      <c r="C34" s="22"/>
      <c r="D34" s="22"/>
      <c r="E34" s="9"/>
      <c r="F34" s="10"/>
      <c r="G34" s="10"/>
      <c r="H34" s="10"/>
      <c r="I34" s="10"/>
      <c r="J34" s="14"/>
      <c r="K34" s="14"/>
      <c r="L34" s="22"/>
      <c r="M34" s="47"/>
      <c r="N34" s="41"/>
      <c r="O34" s="22"/>
      <c r="P34" s="22"/>
      <c r="Q34" s="45"/>
      <c r="S34" s="50"/>
      <c r="T34" s="50"/>
      <c r="U34" s="50"/>
      <c r="V34" s="50"/>
    </row>
    <row r="35" spans="1:22" s="2" customFormat="1" hidden="1" outlineLevel="1" x14ac:dyDescent="0.35">
      <c r="A35" s="8"/>
      <c r="B35" s="9"/>
      <c r="C35" s="22"/>
      <c r="D35" s="22"/>
      <c r="E35" s="9"/>
      <c r="F35" s="10">
        <f>SUM(F32:F34)</f>
        <v>54.9</v>
      </c>
      <c r="G35" s="10"/>
      <c r="H35" s="10"/>
      <c r="I35" s="10"/>
      <c r="J35" s="14"/>
      <c r="K35" s="14"/>
      <c r="L35" s="22"/>
      <c r="M35" s="47"/>
      <c r="N35" s="41"/>
      <c r="O35" s="22"/>
      <c r="P35" s="22"/>
      <c r="Q35" s="45"/>
      <c r="S35" s="50"/>
      <c r="T35" s="50"/>
      <c r="U35" s="50"/>
      <c r="V35" s="50"/>
    </row>
    <row r="36" spans="1:22" s="2" customFormat="1" hidden="1" outlineLevel="1" x14ac:dyDescent="0.35">
      <c r="A36" s="8"/>
      <c r="B36" s="9"/>
      <c r="C36" s="22"/>
      <c r="D36" s="22" t="s">
        <v>154</v>
      </c>
      <c r="E36" s="9"/>
      <c r="F36" s="10">
        <v>0.88800000000000001</v>
      </c>
      <c r="G36" s="10"/>
      <c r="H36" s="10"/>
      <c r="I36" s="10"/>
      <c r="J36" s="14"/>
      <c r="K36" s="14"/>
      <c r="L36" s="22"/>
      <c r="M36" s="47"/>
      <c r="N36" s="41"/>
      <c r="O36" s="22"/>
      <c r="P36" s="22"/>
      <c r="Q36" s="45"/>
      <c r="S36" s="50"/>
      <c r="T36" s="50"/>
      <c r="U36" s="50"/>
      <c r="V36" s="50"/>
    </row>
    <row r="37" spans="1:22" s="2" customFormat="1" hidden="1" outlineLevel="1" x14ac:dyDescent="0.35">
      <c r="A37" s="8"/>
      <c r="B37" s="9"/>
      <c r="C37" s="22"/>
      <c r="D37" s="22"/>
      <c r="E37" s="9"/>
      <c r="F37" s="10"/>
      <c r="G37" s="10"/>
      <c r="H37" s="10"/>
      <c r="I37" s="10"/>
      <c r="J37" s="14"/>
      <c r="K37" s="14"/>
      <c r="L37" s="22"/>
      <c r="M37" s="47"/>
      <c r="N37" s="41"/>
      <c r="O37" s="22"/>
      <c r="P37" s="22"/>
      <c r="Q37" s="45"/>
      <c r="S37" s="50"/>
      <c r="T37" s="50"/>
      <c r="U37" s="50"/>
      <c r="V37" s="50"/>
    </row>
    <row r="38" spans="1:22" s="2" customFormat="1" hidden="1" outlineLevel="1" x14ac:dyDescent="0.35">
      <c r="A38" s="8"/>
      <c r="B38" s="9"/>
      <c r="C38" s="22"/>
      <c r="D38" s="22"/>
      <c r="E38" s="9"/>
      <c r="F38" s="10">
        <f>+F35*F36</f>
        <v>48.751199999999997</v>
      </c>
      <c r="G38" s="10"/>
      <c r="H38" s="10"/>
      <c r="I38" s="10"/>
      <c r="J38" s="14"/>
      <c r="K38" s="14"/>
      <c r="L38" s="22"/>
      <c r="M38" s="47"/>
      <c r="N38" s="41"/>
      <c r="O38" s="22"/>
      <c r="P38" s="22"/>
      <c r="Q38" s="45"/>
      <c r="S38" s="50"/>
      <c r="T38" s="50"/>
      <c r="U38" s="50"/>
      <c r="V38" s="50"/>
    </row>
    <row r="39" spans="1:22" collapsed="1" x14ac:dyDescent="0.35">
      <c r="A39" s="6"/>
      <c r="B39" s="56"/>
      <c r="C39" s="86"/>
      <c r="D39" s="86"/>
      <c r="E39" s="56"/>
      <c r="F39" s="6"/>
      <c r="G39" s="6"/>
      <c r="H39" s="6"/>
      <c r="I39" s="6"/>
      <c r="J39" s="14"/>
      <c r="K39" s="14"/>
      <c r="L39" s="21"/>
      <c r="M39" s="46"/>
      <c r="N39" s="40"/>
      <c r="O39" s="21"/>
      <c r="P39" s="21"/>
      <c r="Q39" s="45"/>
      <c r="S39" s="3"/>
      <c r="T39" s="3"/>
      <c r="U39" s="3"/>
      <c r="V39" s="3"/>
    </row>
    <row r="40" spans="1:22" x14ac:dyDescent="0.35">
      <c r="A40" s="6">
        <f>+A31+1</f>
        <v>4</v>
      </c>
      <c r="B40" s="57" t="s">
        <v>180</v>
      </c>
      <c r="C40" s="85"/>
      <c r="D40" s="85"/>
      <c r="E40" s="57"/>
      <c r="F40" s="58">
        <v>888</v>
      </c>
      <c r="G40" s="6" t="s">
        <v>154</v>
      </c>
      <c r="H40" s="6"/>
      <c r="I40" s="6" t="str">
        <f>+$Q$2</f>
        <v>??</v>
      </c>
      <c r="J40" s="14" t="e">
        <f>+F40*H40*I40</f>
        <v>#VALUE!</v>
      </c>
      <c r="K40" s="14"/>
      <c r="L40" s="21"/>
      <c r="M40" s="46">
        <v>2.5000000000000001E-2</v>
      </c>
      <c r="N40" s="40">
        <f>+L40*M40</f>
        <v>0</v>
      </c>
      <c r="O40" s="21"/>
      <c r="P40" s="21"/>
      <c r="Q40" s="45">
        <f>+(F40*L40)+(F40*N40)+O40+P40</f>
        <v>0</v>
      </c>
      <c r="S40" s="53" t="e">
        <f>+T40/F40</f>
        <v>#VALUE!</v>
      </c>
      <c r="T40" s="49" t="e">
        <f>+J40+K40+Q40</f>
        <v>#VALUE!</v>
      </c>
      <c r="U40" s="49"/>
      <c r="V40" s="53">
        <f>+F40*H40</f>
        <v>0</v>
      </c>
    </row>
    <row r="41" spans="1:22" s="2" customFormat="1" hidden="1" outlineLevel="1" x14ac:dyDescent="0.35">
      <c r="A41" s="8"/>
      <c r="B41" s="9" t="s">
        <v>123</v>
      </c>
      <c r="C41" s="22">
        <v>3</v>
      </c>
      <c r="D41" s="22">
        <v>1</v>
      </c>
      <c r="E41" s="9">
        <f>12*4</f>
        <v>48</v>
      </c>
      <c r="F41" s="10">
        <f>+C41*D41*E41</f>
        <v>144</v>
      </c>
      <c r="G41" s="10"/>
      <c r="H41" s="10"/>
      <c r="I41" s="10"/>
      <c r="J41" s="14"/>
      <c r="K41" s="14"/>
      <c r="L41" s="22"/>
      <c r="M41" s="47"/>
      <c r="N41" s="41"/>
      <c r="O41" s="22"/>
      <c r="P41" s="22"/>
      <c r="Q41" s="45"/>
      <c r="S41" s="50"/>
      <c r="T41" s="50"/>
      <c r="U41" s="50"/>
      <c r="V41" s="50"/>
    </row>
    <row r="42" spans="1:22" s="2" customFormat="1" hidden="1" outlineLevel="1" x14ac:dyDescent="0.35">
      <c r="A42" s="8"/>
      <c r="B42" s="9" t="s">
        <v>124</v>
      </c>
      <c r="C42" s="22">
        <v>3</v>
      </c>
      <c r="D42" s="22">
        <v>1</v>
      </c>
      <c r="E42" s="9">
        <v>30</v>
      </c>
      <c r="F42" s="10">
        <f t="shared" ref="F42:F43" si="3">+C42*D42*E42</f>
        <v>90</v>
      </c>
      <c r="G42" s="10"/>
      <c r="H42" s="10"/>
      <c r="I42" s="10"/>
      <c r="J42" s="14"/>
      <c r="K42" s="14"/>
      <c r="L42" s="22"/>
      <c r="M42" s="47"/>
      <c r="N42" s="41"/>
      <c r="O42" s="22"/>
      <c r="P42" s="22"/>
      <c r="Q42" s="45"/>
      <c r="S42" s="50"/>
      <c r="T42" s="50"/>
      <c r="U42" s="50"/>
      <c r="V42" s="50"/>
    </row>
    <row r="43" spans="1:22" s="2" customFormat="1" hidden="1" outlineLevel="1" x14ac:dyDescent="0.35">
      <c r="A43" s="8"/>
      <c r="B43" s="9" t="s">
        <v>125</v>
      </c>
      <c r="C43" s="22">
        <v>3</v>
      </c>
      <c r="D43" s="22">
        <v>1</v>
      </c>
      <c r="E43" s="9">
        <v>16</v>
      </c>
      <c r="F43" s="10">
        <f t="shared" si="3"/>
        <v>48</v>
      </c>
      <c r="G43" s="10"/>
      <c r="H43" s="10"/>
      <c r="I43" s="10"/>
      <c r="J43" s="14"/>
      <c r="K43" s="14"/>
      <c r="L43" s="22"/>
      <c r="M43" s="47"/>
      <c r="N43" s="41"/>
      <c r="O43" s="22"/>
      <c r="P43" s="22"/>
      <c r="Q43" s="45"/>
      <c r="S43" s="50"/>
      <c r="T43" s="50"/>
      <c r="U43" s="50"/>
      <c r="V43" s="50"/>
    </row>
    <row r="44" spans="1:22" s="2" customFormat="1" hidden="1" outlineLevel="1" x14ac:dyDescent="0.35">
      <c r="A44" s="8"/>
      <c r="B44" s="9"/>
      <c r="C44" s="22"/>
      <c r="D44" s="22"/>
      <c r="E44" s="9"/>
      <c r="F44" s="10"/>
      <c r="G44" s="10"/>
      <c r="H44" s="10"/>
      <c r="I44" s="10"/>
      <c r="J44" s="14"/>
      <c r="K44" s="14"/>
      <c r="L44" s="22"/>
      <c r="M44" s="47"/>
      <c r="N44" s="41"/>
      <c r="O44" s="22"/>
      <c r="P44" s="22"/>
      <c r="Q44" s="45"/>
      <c r="S44" s="50"/>
      <c r="T44" s="50"/>
      <c r="U44" s="50"/>
      <c r="V44" s="50"/>
    </row>
    <row r="45" spans="1:22" s="2" customFormat="1" hidden="1" outlineLevel="1" x14ac:dyDescent="0.35">
      <c r="A45" s="8"/>
      <c r="B45" s="9"/>
      <c r="C45" s="22"/>
      <c r="D45" s="22"/>
      <c r="E45" s="9"/>
      <c r="F45" s="10">
        <f>SUM(F41:F44)</f>
        <v>282</v>
      </c>
      <c r="G45" s="10"/>
      <c r="H45" s="10"/>
      <c r="I45" s="10"/>
      <c r="J45" s="14"/>
      <c r="K45" s="14"/>
      <c r="L45" s="22"/>
      <c r="M45" s="47"/>
      <c r="N45" s="41"/>
      <c r="O45" s="22"/>
      <c r="P45" s="22"/>
      <c r="Q45" s="45"/>
      <c r="S45" s="50"/>
      <c r="T45" s="50"/>
      <c r="U45" s="50"/>
      <c r="V45" s="50"/>
    </row>
    <row r="46" spans="1:22" s="2" customFormat="1" hidden="1" outlineLevel="1" x14ac:dyDescent="0.35">
      <c r="A46" s="8"/>
      <c r="B46" s="9"/>
      <c r="C46" s="22"/>
      <c r="D46" s="22" t="s">
        <v>154</v>
      </c>
      <c r="E46" s="9"/>
      <c r="F46" s="10">
        <v>2.4660000000000002</v>
      </c>
      <c r="G46" s="10"/>
      <c r="H46" s="10"/>
      <c r="I46" s="10"/>
      <c r="J46" s="14"/>
      <c r="K46" s="14"/>
      <c r="L46" s="22"/>
      <c r="M46" s="47"/>
      <c r="N46" s="41"/>
      <c r="O46" s="22"/>
      <c r="P46" s="22"/>
      <c r="Q46" s="45"/>
      <c r="S46" s="50"/>
      <c r="T46" s="50"/>
      <c r="U46" s="50"/>
      <c r="V46" s="50"/>
    </row>
    <row r="47" spans="1:22" s="2" customFormat="1" hidden="1" outlineLevel="1" x14ac:dyDescent="0.35">
      <c r="A47" s="8"/>
      <c r="B47" s="9"/>
      <c r="C47" s="22"/>
      <c r="D47" s="22"/>
      <c r="E47" s="9"/>
      <c r="F47" s="10"/>
      <c r="G47" s="10"/>
      <c r="H47" s="10"/>
      <c r="I47" s="10"/>
      <c r="J47" s="14"/>
      <c r="K47" s="14"/>
      <c r="L47" s="22"/>
      <c r="M47" s="47"/>
      <c r="N47" s="41"/>
      <c r="O47" s="22"/>
      <c r="P47" s="22"/>
      <c r="Q47" s="45"/>
      <c r="S47" s="50"/>
      <c r="T47" s="50"/>
      <c r="U47" s="50"/>
      <c r="V47" s="50"/>
    </row>
    <row r="48" spans="1:22" s="2" customFormat="1" hidden="1" outlineLevel="1" x14ac:dyDescent="0.35">
      <c r="A48" s="8"/>
      <c r="B48" s="9"/>
      <c r="C48" s="22"/>
      <c r="D48" s="22"/>
      <c r="E48" s="9"/>
      <c r="F48" s="10">
        <f>+F45*F46</f>
        <v>695.41200000000003</v>
      </c>
      <c r="G48" s="10"/>
      <c r="H48" s="10"/>
      <c r="I48" s="10"/>
      <c r="J48" s="14"/>
      <c r="K48" s="14"/>
      <c r="L48" s="22"/>
      <c r="M48" s="47"/>
      <c r="N48" s="41"/>
      <c r="O48" s="22"/>
      <c r="P48" s="22"/>
      <c r="Q48" s="45"/>
      <c r="S48" s="50"/>
      <c r="T48" s="50"/>
      <c r="U48" s="50"/>
      <c r="V48" s="50"/>
    </row>
    <row r="49" spans="1:22" collapsed="1" x14ac:dyDescent="0.35">
      <c r="A49" s="6"/>
      <c r="B49" s="56"/>
      <c r="C49" s="86"/>
      <c r="D49" s="86"/>
      <c r="E49" s="56"/>
      <c r="F49" s="6"/>
      <c r="G49" s="6"/>
      <c r="H49" s="6"/>
      <c r="I49" s="6"/>
      <c r="J49" s="14"/>
      <c r="K49" s="14"/>
      <c r="L49" s="21"/>
      <c r="M49" s="46"/>
      <c r="N49" s="40"/>
      <c r="O49" s="21"/>
      <c r="P49" s="21"/>
      <c r="Q49" s="45"/>
      <c r="S49" s="3"/>
      <c r="T49" s="3"/>
      <c r="U49" s="3"/>
      <c r="V49" s="3"/>
    </row>
    <row r="50" spans="1:22" x14ac:dyDescent="0.35">
      <c r="A50" s="6">
        <f>+A40+1</f>
        <v>5</v>
      </c>
      <c r="B50" s="57" t="s">
        <v>158</v>
      </c>
      <c r="C50" s="85"/>
      <c r="D50" s="85"/>
      <c r="E50" s="57"/>
      <c r="F50" s="58">
        <v>4556</v>
      </c>
      <c r="G50" s="6" t="s">
        <v>154</v>
      </c>
      <c r="H50" s="6"/>
      <c r="I50" s="6" t="str">
        <f>+$Q$2</f>
        <v>??</v>
      </c>
      <c r="J50" s="14" t="e">
        <f>+F50*H50*I50</f>
        <v>#VALUE!</v>
      </c>
      <c r="K50" s="14"/>
      <c r="L50" s="21"/>
      <c r="M50" s="46">
        <v>2.5000000000000001E-2</v>
      </c>
      <c r="N50" s="40">
        <f>+L50*M50</f>
        <v>0</v>
      </c>
      <c r="O50" s="21"/>
      <c r="P50" s="21"/>
      <c r="Q50" s="45">
        <f>+(F50*L50)+(F50*N50)+O50+P50</f>
        <v>0</v>
      </c>
      <c r="S50" s="53" t="e">
        <f>+T50/F50</f>
        <v>#VALUE!</v>
      </c>
      <c r="T50" s="49" t="e">
        <f>+J50+K50+Q50</f>
        <v>#VALUE!</v>
      </c>
      <c r="U50" s="49"/>
      <c r="V50" s="53">
        <f>+F50*H50</f>
        <v>0</v>
      </c>
    </row>
    <row r="51" spans="1:22" s="2" customFormat="1" hidden="1" outlineLevel="1" x14ac:dyDescent="0.35">
      <c r="A51" s="8"/>
      <c r="B51" s="9" t="s">
        <v>37</v>
      </c>
      <c r="C51" s="22">
        <v>21.5</v>
      </c>
      <c r="D51" s="22">
        <v>8</v>
      </c>
      <c r="E51" s="9">
        <v>1</v>
      </c>
      <c r="F51" s="10">
        <f>+C51*D51*E51</f>
        <v>172</v>
      </c>
      <c r="G51" s="10"/>
      <c r="H51" s="10"/>
      <c r="I51" s="10"/>
      <c r="J51" s="14"/>
      <c r="K51" s="14"/>
      <c r="L51" s="22"/>
      <c r="M51" s="47"/>
      <c r="N51" s="41"/>
      <c r="O51" s="22"/>
      <c r="P51" s="22"/>
      <c r="Q51" s="45"/>
      <c r="S51" s="50"/>
      <c r="T51" s="50"/>
      <c r="U51" s="50"/>
      <c r="V51" s="50"/>
    </row>
    <row r="52" spans="1:22" s="2" customFormat="1" hidden="1" outlineLevel="1" x14ac:dyDescent="0.35">
      <c r="A52" s="8"/>
      <c r="B52" s="9" t="s">
        <v>107</v>
      </c>
      <c r="C52" s="22">
        <v>21.5</v>
      </c>
      <c r="D52" s="22">
        <v>8</v>
      </c>
      <c r="E52" s="9">
        <v>1</v>
      </c>
      <c r="F52" s="10">
        <f t="shared" ref="F52:F55" si="4">+C52*D52*E52</f>
        <v>172</v>
      </c>
      <c r="G52" s="10"/>
      <c r="H52" s="10"/>
      <c r="I52" s="10"/>
      <c r="J52" s="14"/>
      <c r="K52" s="14"/>
      <c r="L52" s="22"/>
      <c r="M52" s="47"/>
      <c r="N52" s="41"/>
      <c r="O52" s="22"/>
      <c r="P52" s="22"/>
      <c r="Q52" s="45"/>
      <c r="S52" s="50"/>
      <c r="T52" s="50"/>
      <c r="U52" s="50"/>
      <c r="V52" s="50"/>
    </row>
    <row r="53" spans="1:22" s="2" customFormat="1" hidden="1" outlineLevel="1" x14ac:dyDescent="0.35">
      <c r="A53" s="8"/>
      <c r="B53" s="9" t="s">
        <v>87</v>
      </c>
      <c r="C53" s="22">
        <v>16.5</v>
      </c>
      <c r="D53" s="22">
        <v>8</v>
      </c>
      <c r="E53" s="9">
        <v>1</v>
      </c>
      <c r="F53" s="10">
        <f t="shared" si="4"/>
        <v>132</v>
      </c>
      <c r="G53" s="10"/>
      <c r="H53" s="10"/>
      <c r="I53" s="10"/>
      <c r="J53" s="14"/>
      <c r="K53" s="14"/>
      <c r="L53" s="22"/>
      <c r="M53" s="47"/>
      <c r="N53" s="41"/>
      <c r="O53" s="22"/>
      <c r="P53" s="22"/>
      <c r="Q53" s="45"/>
      <c r="S53" s="50"/>
      <c r="T53" s="50"/>
      <c r="U53" s="50"/>
      <c r="V53" s="50"/>
    </row>
    <row r="54" spans="1:22" s="2" customFormat="1" hidden="1" outlineLevel="1" x14ac:dyDescent="0.35">
      <c r="A54" s="8"/>
      <c r="B54" s="9" t="s">
        <v>91</v>
      </c>
      <c r="C54" s="22">
        <v>16.5</v>
      </c>
      <c r="D54" s="22">
        <v>8</v>
      </c>
      <c r="E54" s="9">
        <v>1</v>
      </c>
      <c r="F54" s="10">
        <f t="shared" si="4"/>
        <v>132</v>
      </c>
      <c r="G54" s="10"/>
      <c r="H54" s="10"/>
      <c r="I54" s="10"/>
      <c r="J54" s="14"/>
      <c r="K54" s="14"/>
      <c r="L54" s="22"/>
      <c r="M54" s="47"/>
      <c r="N54" s="41"/>
      <c r="O54" s="22"/>
      <c r="P54" s="22"/>
      <c r="Q54" s="45"/>
      <c r="S54" s="50"/>
      <c r="T54" s="50"/>
      <c r="U54" s="50"/>
      <c r="V54" s="50"/>
    </row>
    <row r="55" spans="1:22" s="2" customFormat="1" hidden="1" outlineLevel="1" x14ac:dyDescent="0.35">
      <c r="A55" s="8"/>
      <c r="B55" s="9" t="s">
        <v>160</v>
      </c>
      <c r="C55" s="22">
        <v>12</v>
      </c>
      <c r="D55" s="22">
        <v>8</v>
      </c>
      <c r="E55" s="9">
        <v>1</v>
      </c>
      <c r="F55" s="10">
        <f t="shared" si="4"/>
        <v>96</v>
      </c>
      <c r="G55" s="10"/>
      <c r="H55" s="10"/>
      <c r="I55" s="10"/>
      <c r="J55" s="14"/>
      <c r="K55" s="14"/>
      <c r="L55" s="22"/>
      <c r="M55" s="47"/>
      <c r="N55" s="41"/>
      <c r="O55" s="22"/>
      <c r="P55" s="22"/>
      <c r="Q55" s="45"/>
      <c r="S55" s="50"/>
      <c r="T55" s="50"/>
      <c r="U55" s="50"/>
      <c r="V55" s="50"/>
    </row>
    <row r="56" spans="1:22" s="2" customFormat="1" hidden="1" outlineLevel="1" x14ac:dyDescent="0.35">
      <c r="A56" s="8"/>
      <c r="B56" s="9"/>
      <c r="C56" s="22"/>
      <c r="D56" s="22">
        <v>2.2999999999999998</v>
      </c>
      <c r="E56" s="9"/>
      <c r="F56" s="10"/>
      <c r="G56" s="10"/>
      <c r="H56" s="10"/>
      <c r="I56" s="10"/>
      <c r="J56" s="14"/>
      <c r="K56" s="14"/>
      <c r="L56" s="22"/>
      <c r="M56" s="47"/>
      <c r="N56" s="41"/>
      <c r="O56" s="22"/>
      <c r="P56" s="22"/>
      <c r="Q56" s="45"/>
      <c r="S56" s="50"/>
      <c r="T56" s="50"/>
      <c r="U56" s="50"/>
      <c r="V56" s="50"/>
    </row>
    <row r="57" spans="1:22" s="2" customFormat="1" hidden="1" outlineLevel="1" x14ac:dyDescent="0.35">
      <c r="A57" s="8"/>
      <c r="B57" s="9"/>
      <c r="C57" s="22"/>
      <c r="D57" s="22"/>
      <c r="E57" s="9"/>
      <c r="F57" s="10">
        <f>SUM(F51:F56)</f>
        <v>704</v>
      </c>
      <c r="G57" s="10"/>
      <c r="H57" s="10"/>
      <c r="I57" s="10"/>
      <c r="J57" s="14"/>
      <c r="K57" s="14"/>
      <c r="L57" s="22"/>
      <c r="M57" s="47"/>
      <c r="N57" s="41"/>
      <c r="O57" s="22"/>
      <c r="P57" s="22"/>
      <c r="Q57" s="45"/>
      <c r="S57" s="50"/>
      <c r="T57" s="50"/>
      <c r="U57" s="50"/>
      <c r="V57" s="50"/>
    </row>
    <row r="58" spans="1:22" s="2" customFormat="1" hidden="1" outlineLevel="1" x14ac:dyDescent="0.35">
      <c r="A58" s="8"/>
      <c r="B58" s="9"/>
      <c r="C58" s="22"/>
      <c r="D58" s="22" t="s">
        <v>154</v>
      </c>
      <c r="E58" s="9"/>
      <c r="F58" s="10">
        <v>3.75</v>
      </c>
      <c r="G58" s="10"/>
      <c r="H58" s="10"/>
      <c r="I58" s="10"/>
      <c r="J58" s="14"/>
      <c r="K58" s="14"/>
      <c r="L58" s="22"/>
      <c r="M58" s="47"/>
      <c r="N58" s="41"/>
      <c r="O58" s="22"/>
      <c r="P58" s="22"/>
      <c r="Q58" s="45"/>
      <c r="S58" s="50"/>
      <c r="T58" s="50"/>
      <c r="U58" s="50"/>
      <c r="V58" s="50"/>
    </row>
    <row r="59" spans="1:22" s="2" customFormat="1" hidden="1" outlineLevel="1" x14ac:dyDescent="0.35">
      <c r="A59" s="8"/>
      <c r="B59" s="9"/>
      <c r="C59" s="22"/>
      <c r="D59" s="22"/>
      <c r="E59" s="9"/>
      <c r="F59" s="10"/>
      <c r="G59" s="10"/>
      <c r="H59" s="10"/>
      <c r="I59" s="10"/>
      <c r="J59" s="14"/>
      <c r="K59" s="14"/>
      <c r="L59" s="22"/>
      <c r="M59" s="47"/>
      <c r="N59" s="41"/>
      <c r="O59" s="22"/>
      <c r="P59" s="22"/>
      <c r="Q59" s="45"/>
      <c r="S59" s="50"/>
      <c r="T59" s="50"/>
      <c r="U59" s="50"/>
      <c r="V59" s="50"/>
    </row>
    <row r="60" spans="1:22" s="2" customFormat="1" hidden="1" outlineLevel="1" x14ac:dyDescent="0.35">
      <c r="A60" s="8"/>
      <c r="B60" s="9"/>
      <c r="C60" s="22"/>
      <c r="D60" s="22"/>
      <c r="E60" s="9"/>
      <c r="F60" s="10">
        <f>+F57*F58</f>
        <v>2640</v>
      </c>
      <c r="G60" s="10"/>
      <c r="H60" s="10"/>
      <c r="I60" s="10"/>
      <c r="J60" s="14"/>
      <c r="K60" s="14"/>
      <c r="L60" s="22"/>
      <c r="M60" s="47"/>
      <c r="N60" s="41"/>
      <c r="O60" s="22"/>
      <c r="P60" s="22"/>
      <c r="Q60" s="45"/>
      <c r="S60" s="50"/>
      <c r="T60" s="50"/>
      <c r="U60" s="50"/>
      <c r="V60" s="50"/>
    </row>
    <row r="61" spans="1:22" collapsed="1" x14ac:dyDescent="0.35">
      <c r="A61" s="6"/>
      <c r="B61" s="56"/>
      <c r="C61" s="86"/>
      <c r="D61" s="86"/>
      <c r="E61" s="56"/>
      <c r="F61" s="6"/>
      <c r="G61" s="6"/>
      <c r="H61" s="6"/>
      <c r="I61" s="6"/>
      <c r="J61" s="14"/>
      <c r="K61" s="14"/>
      <c r="L61" s="21"/>
      <c r="M61" s="46"/>
      <c r="N61" s="40"/>
      <c r="O61" s="21"/>
      <c r="P61" s="21"/>
      <c r="Q61" s="45"/>
      <c r="S61" s="3"/>
      <c r="T61" s="3"/>
      <c r="U61" s="3"/>
      <c r="V61" s="3"/>
    </row>
    <row r="62" spans="1:22" x14ac:dyDescent="0.35">
      <c r="A62" s="6">
        <f>+A50+1</f>
        <v>6</v>
      </c>
      <c r="B62" s="57" t="s">
        <v>159</v>
      </c>
      <c r="C62" s="85"/>
      <c r="D62" s="85"/>
      <c r="E62" s="57"/>
      <c r="F62" s="58">
        <v>556</v>
      </c>
      <c r="G62" s="6" t="s">
        <v>154</v>
      </c>
      <c r="H62" s="6"/>
      <c r="I62" s="6" t="str">
        <f>+$Q$2</f>
        <v>??</v>
      </c>
      <c r="J62" s="14" t="e">
        <f>+F62*H62*I62</f>
        <v>#VALUE!</v>
      </c>
      <c r="K62" s="14"/>
      <c r="L62" s="21"/>
      <c r="M62" s="46">
        <v>2.5000000000000001E-2</v>
      </c>
      <c r="N62" s="40">
        <f>+L62*M62</f>
        <v>0</v>
      </c>
      <c r="O62" s="21"/>
      <c r="P62" s="21"/>
      <c r="Q62" s="45">
        <f>+(F62*L62)+(F62*N62)+O62+P62</f>
        <v>0</v>
      </c>
      <c r="S62" s="53" t="e">
        <f>+T62/F62</f>
        <v>#VALUE!</v>
      </c>
      <c r="T62" s="49" t="e">
        <f>+J62+K62+Q62</f>
        <v>#VALUE!</v>
      </c>
      <c r="U62" s="49"/>
      <c r="V62" s="53">
        <f>+F62*H62</f>
        <v>0</v>
      </c>
    </row>
    <row r="63" spans="1:22" s="2" customFormat="1" hidden="1" outlineLevel="1" x14ac:dyDescent="0.35">
      <c r="A63" s="8"/>
      <c r="B63" s="9" t="s">
        <v>130</v>
      </c>
      <c r="C63" s="22">
        <v>16</v>
      </c>
      <c r="D63" s="22">
        <v>2</v>
      </c>
      <c r="E63" s="9">
        <v>2</v>
      </c>
      <c r="F63" s="10">
        <f t="shared" ref="F63:F67" si="5">+C63*D63*E63</f>
        <v>64</v>
      </c>
      <c r="G63" s="10"/>
      <c r="H63" s="10"/>
      <c r="I63" s="10"/>
      <c r="J63" s="14"/>
      <c r="K63" s="14"/>
      <c r="L63" s="22"/>
      <c r="M63" s="47"/>
      <c r="N63" s="41"/>
      <c r="O63" s="22"/>
      <c r="P63" s="22"/>
      <c r="Q63" s="45"/>
      <c r="S63" s="50"/>
      <c r="T63" s="50"/>
      <c r="U63" s="50"/>
      <c r="V63" s="50"/>
    </row>
    <row r="64" spans="1:22" s="2" customFormat="1" hidden="1" outlineLevel="1" x14ac:dyDescent="0.35">
      <c r="A64" s="8"/>
      <c r="B64" s="9"/>
      <c r="C64" s="22">
        <v>21.5</v>
      </c>
      <c r="D64" s="22">
        <v>2</v>
      </c>
      <c r="E64" s="9">
        <v>2</v>
      </c>
      <c r="F64" s="10">
        <f t="shared" si="5"/>
        <v>86</v>
      </c>
      <c r="G64" s="10"/>
      <c r="H64" s="10"/>
      <c r="I64" s="10"/>
      <c r="J64" s="14"/>
      <c r="K64" s="14"/>
      <c r="L64" s="22"/>
      <c r="M64" s="47"/>
      <c r="N64" s="41"/>
      <c r="O64" s="22"/>
      <c r="P64" s="22"/>
      <c r="Q64" s="45"/>
      <c r="S64" s="50"/>
      <c r="T64" s="50"/>
      <c r="U64" s="50"/>
      <c r="V64" s="50"/>
    </row>
    <row r="65" spans="1:22" s="2" customFormat="1" hidden="1" outlineLevel="1" x14ac:dyDescent="0.35">
      <c r="A65" s="8"/>
      <c r="B65" s="9" t="s">
        <v>160</v>
      </c>
      <c r="C65" s="22">
        <v>5</v>
      </c>
      <c r="D65" s="22">
        <v>2</v>
      </c>
      <c r="E65" s="9">
        <v>2</v>
      </c>
      <c r="F65" s="10">
        <f t="shared" si="5"/>
        <v>20</v>
      </c>
      <c r="G65" s="10"/>
      <c r="H65" s="10"/>
      <c r="I65" s="10"/>
      <c r="J65" s="14"/>
      <c r="K65" s="14"/>
      <c r="L65" s="22"/>
      <c r="M65" s="47"/>
      <c r="N65" s="41"/>
      <c r="O65" s="22"/>
      <c r="P65" s="22"/>
      <c r="Q65" s="45"/>
      <c r="S65" s="50"/>
      <c r="T65" s="50"/>
      <c r="U65" s="50"/>
      <c r="V65" s="50"/>
    </row>
    <row r="66" spans="1:22" s="2" customFormat="1" hidden="1" outlineLevel="1" x14ac:dyDescent="0.35">
      <c r="A66" s="8"/>
      <c r="B66" s="9"/>
      <c r="C66" s="22"/>
      <c r="D66" s="22"/>
      <c r="E66" s="9"/>
      <c r="F66" s="10">
        <f t="shared" si="5"/>
        <v>0</v>
      </c>
      <c r="G66" s="10"/>
      <c r="H66" s="10"/>
      <c r="I66" s="10"/>
      <c r="J66" s="14"/>
      <c r="K66" s="14"/>
      <c r="L66" s="22"/>
      <c r="M66" s="47"/>
      <c r="N66" s="41"/>
      <c r="O66" s="22"/>
      <c r="P66" s="22"/>
      <c r="Q66" s="45"/>
      <c r="S66" s="50"/>
      <c r="T66" s="50"/>
      <c r="U66" s="50"/>
      <c r="V66" s="50"/>
    </row>
    <row r="67" spans="1:22" s="2" customFormat="1" hidden="1" outlineLevel="1" x14ac:dyDescent="0.35">
      <c r="A67" s="8"/>
      <c r="B67" s="9"/>
      <c r="C67" s="22"/>
      <c r="D67" s="22"/>
      <c r="E67" s="9"/>
      <c r="F67" s="10">
        <f t="shared" si="5"/>
        <v>0</v>
      </c>
      <c r="G67" s="10"/>
      <c r="H67" s="10"/>
      <c r="I67" s="10"/>
      <c r="J67" s="14"/>
      <c r="K67" s="14"/>
      <c r="L67" s="22"/>
      <c r="M67" s="47"/>
      <c r="N67" s="41"/>
      <c r="O67" s="22"/>
      <c r="P67" s="22"/>
      <c r="Q67" s="45"/>
      <c r="S67" s="50"/>
      <c r="T67" s="50"/>
      <c r="U67" s="50"/>
      <c r="V67" s="50"/>
    </row>
    <row r="68" spans="1:22" s="2" customFormat="1" hidden="1" outlineLevel="1" x14ac:dyDescent="0.35">
      <c r="A68" s="8"/>
      <c r="B68" s="9"/>
      <c r="C68" s="22"/>
      <c r="D68" s="22">
        <v>2.2999999999999998</v>
      </c>
      <c r="E68" s="9"/>
      <c r="F68" s="10"/>
      <c r="G68" s="10"/>
      <c r="H68" s="10"/>
      <c r="I68" s="10"/>
      <c r="J68" s="14"/>
      <c r="K68" s="14"/>
      <c r="L68" s="22"/>
      <c r="M68" s="47"/>
      <c r="N68" s="41"/>
      <c r="O68" s="22"/>
      <c r="P68" s="22"/>
      <c r="Q68" s="45"/>
      <c r="S68" s="50"/>
      <c r="T68" s="50"/>
      <c r="U68" s="50"/>
      <c r="V68" s="50"/>
    </row>
    <row r="69" spans="1:22" s="2" customFormat="1" hidden="1" outlineLevel="1" x14ac:dyDescent="0.35">
      <c r="A69" s="8"/>
      <c r="B69" s="9"/>
      <c r="C69" s="22"/>
      <c r="D69" s="22"/>
      <c r="E69" s="9"/>
      <c r="F69" s="10">
        <f>SUM(F63:F68)</f>
        <v>170</v>
      </c>
      <c r="G69" s="10"/>
      <c r="H69" s="10"/>
      <c r="I69" s="10"/>
      <c r="J69" s="14"/>
      <c r="K69" s="14"/>
      <c r="L69" s="22"/>
      <c r="M69" s="47"/>
      <c r="N69" s="41"/>
      <c r="O69" s="22"/>
      <c r="P69" s="22"/>
      <c r="Q69" s="45"/>
      <c r="S69" s="50"/>
      <c r="T69" s="50"/>
      <c r="U69" s="50"/>
      <c r="V69" s="50"/>
    </row>
    <row r="70" spans="1:22" s="2" customFormat="1" hidden="1" outlineLevel="1" x14ac:dyDescent="0.35">
      <c r="A70" s="8"/>
      <c r="B70" s="9"/>
      <c r="C70" s="22"/>
      <c r="D70" s="22" t="s">
        <v>154</v>
      </c>
      <c r="E70" s="9"/>
      <c r="F70" s="10">
        <v>1.5780000000000001</v>
      </c>
      <c r="G70" s="10"/>
      <c r="H70" s="10"/>
      <c r="I70" s="10"/>
      <c r="J70" s="14"/>
      <c r="K70" s="14"/>
      <c r="L70" s="22"/>
      <c r="M70" s="47"/>
      <c r="N70" s="41"/>
      <c r="O70" s="22"/>
      <c r="P70" s="22"/>
      <c r="Q70" s="45"/>
      <c r="S70" s="50"/>
      <c r="T70" s="50"/>
      <c r="U70" s="50"/>
      <c r="V70" s="50"/>
    </row>
    <row r="71" spans="1:22" s="2" customFormat="1" hidden="1" outlineLevel="1" x14ac:dyDescent="0.35">
      <c r="A71" s="8"/>
      <c r="B71" s="9"/>
      <c r="C71" s="22"/>
      <c r="D71" s="22"/>
      <c r="E71" s="9"/>
      <c r="F71" s="10"/>
      <c r="G71" s="10"/>
      <c r="H71" s="10"/>
      <c r="I71" s="10"/>
      <c r="J71" s="14"/>
      <c r="K71" s="14"/>
      <c r="L71" s="22"/>
      <c r="M71" s="47"/>
      <c r="N71" s="41"/>
      <c r="O71" s="22"/>
      <c r="P71" s="22"/>
      <c r="Q71" s="45"/>
      <c r="S71" s="50"/>
      <c r="T71" s="50"/>
      <c r="U71" s="50"/>
      <c r="V71" s="50"/>
    </row>
    <row r="72" spans="1:22" s="2" customFormat="1" hidden="1" outlineLevel="1" x14ac:dyDescent="0.35">
      <c r="A72" s="8"/>
      <c r="B72" s="9"/>
      <c r="C72" s="22"/>
      <c r="D72" s="22"/>
      <c r="E72" s="9"/>
      <c r="F72" s="10">
        <f>+F69*F70</f>
        <v>268.26</v>
      </c>
      <c r="G72" s="10"/>
      <c r="H72" s="10"/>
      <c r="I72" s="10"/>
      <c r="J72" s="14"/>
      <c r="K72" s="14"/>
      <c r="L72" s="22"/>
      <c r="M72" s="47"/>
      <c r="N72" s="41"/>
      <c r="O72" s="22"/>
      <c r="P72" s="22"/>
      <c r="Q72" s="45"/>
      <c r="S72" s="50"/>
      <c r="T72" s="50"/>
      <c r="U72" s="50"/>
      <c r="V72" s="50"/>
    </row>
    <row r="73" spans="1:22" collapsed="1" x14ac:dyDescent="0.35">
      <c r="A73" s="6"/>
      <c r="B73" s="56"/>
      <c r="C73" s="86"/>
      <c r="D73" s="86"/>
      <c r="E73" s="56"/>
      <c r="F73" s="6"/>
      <c r="G73" s="6"/>
      <c r="H73" s="6"/>
      <c r="I73" s="6"/>
      <c r="J73" s="14"/>
      <c r="K73" s="14"/>
      <c r="L73" s="21"/>
      <c r="M73" s="46"/>
      <c r="N73" s="40"/>
      <c r="O73" s="21"/>
      <c r="P73" s="21"/>
      <c r="Q73" s="45"/>
      <c r="S73" s="3"/>
      <c r="T73" s="3"/>
      <c r="U73" s="3"/>
      <c r="V73" s="3"/>
    </row>
    <row r="74" spans="1:22" x14ac:dyDescent="0.35">
      <c r="A74" s="6">
        <f>+A62+1</f>
        <v>7</v>
      </c>
      <c r="B74" s="57" t="s">
        <v>161</v>
      </c>
      <c r="C74" s="85"/>
      <c r="D74" s="85"/>
      <c r="E74" s="57"/>
      <c r="F74" s="58">
        <v>554</v>
      </c>
      <c r="G74" s="6" t="s">
        <v>154</v>
      </c>
      <c r="H74" s="6"/>
      <c r="I74" s="6" t="str">
        <f>+$Q$2</f>
        <v>??</v>
      </c>
      <c r="J74" s="14" t="e">
        <f>+F74*H74*I74</f>
        <v>#VALUE!</v>
      </c>
      <c r="K74" s="14"/>
      <c r="L74" s="21"/>
      <c r="M74" s="46">
        <v>2.5000000000000001E-2</v>
      </c>
      <c r="N74" s="40">
        <f>+L74*M74</f>
        <v>0</v>
      </c>
      <c r="O74" s="21"/>
      <c r="P74" s="21"/>
      <c r="Q74" s="45">
        <f>+(F74*L74)+(F74*N74)+O74+P74</f>
        <v>0</v>
      </c>
      <c r="S74" s="53" t="e">
        <f>+T74/F74</f>
        <v>#VALUE!</v>
      </c>
      <c r="T74" s="49" t="e">
        <f>+J74+K74+Q74</f>
        <v>#VALUE!</v>
      </c>
      <c r="U74" s="49"/>
      <c r="V74" s="53">
        <f>+F74*H74</f>
        <v>0</v>
      </c>
    </row>
    <row r="75" spans="1:22" s="2" customFormat="1" hidden="1" outlineLevel="1" x14ac:dyDescent="0.35">
      <c r="A75" s="8"/>
      <c r="B75" s="9" t="s">
        <v>37</v>
      </c>
      <c r="C75" s="22">
        <f>21.5/0.25+1</f>
        <v>87</v>
      </c>
      <c r="D75" s="22">
        <v>1</v>
      </c>
      <c r="E75" s="9">
        <v>1</v>
      </c>
      <c r="F75" s="10">
        <f>+C75*D75*E75</f>
        <v>87</v>
      </c>
      <c r="G75" s="10"/>
      <c r="H75" s="10"/>
      <c r="I75" s="10"/>
      <c r="J75" s="14"/>
      <c r="K75" s="14"/>
      <c r="L75" s="22"/>
      <c r="M75" s="47"/>
      <c r="N75" s="41"/>
      <c r="O75" s="22"/>
      <c r="P75" s="22"/>
      <c r="Q75" s="45"/>
      <c r="S75" s="50"/>
      <c r="T75" s="50"/>
      <c r="U75" s="50"/>
      <c r="V75" s="50"/>
    </row>
    <row r="76" spans="1:22" s="2" customFormat="1" hidden="1" outlineLevel="1" x14ac:dyDescent="0.35">
      <c r="A76" s="8"/>
      <c r="B76" s="9" t="s">
        <v>107</v>
      </c>
      <c r="C76" s="22">
        <f>21.5/0.25+1</f>
        <v>87</v>
      </c>
      <c r="D76" s="22">
        <v>1</v>
      </c>
      <c r="E76" s="9">
        <v>1</v>
      </c>
      <c r="F76" s="10">
        <f t="shared" ref="F76:F79" si="6">+C76*D76*E76</f>
        <v>87</v>
      </c>
      <c r="G76" s="10"/>
      <c r="H76" s="10"/>
      <c r="I76" s="10"/>
      <c r="J76" s="14"/>
      <c r="K76" s="14"/>
      <c r="L76" s="22"/>
      <c r="M76" s="47"/>
      <c r="N76" s="41"/>
      <c r="O76" s="22"/>
      <c r="P76" s="22"/>
      <c r="Q76" s="45"/>
      <c r="S76" s="50"/>
      <c r="T76" s="50"/>
      <c r="U76" s="50"/>
      <c r="V76" s="50"/>
    </row>
    <row r="77" spans="1:22" s="2" customFormat="1" hidden="1" outlineLevel="1" x14ac:dyDescent="0.35">
      <c r="A77" s="8"/>
      <c r="B77" s="9" t="s">
        <v>87</v>
      </c>
      <c r="C77" s="22">
        <f>16.5/0.25+1</f>
        <v>67</v>
      </c>
      <c r="D77" s="22">
        <v>1</v>
      </c>
      <c r="E77" s="9">
        <v>1</v>
      </c>
      <c r="F77" s="10">
        <f t="shared" si="6"/>
        <v>67</v>
      </c>
      <c r="G77" s="10"/>
      <c r="H77" s="10"/>
      <c r="I77" s="10"/>
      <c r="J77" s="14"/>
      <c r="K77" s="14"/>
      <c r="L77" s="22"/>
      <c r="M77" s="47"/>
      <c r="N77" s="41"/>
      <c r="O77" s="22"/>
      <c r="P77" s="22"/>
      <c r="Q77" s="45"/>
      <c r="S77" s="50"/>
      <c r="T77" s="50"/>
      <c r="U77" s="50"/>
      <c r="V77" s="50"/>
    </row>
    <row r="78" spans="1:22" s="2" customFormat="1" hidden="1" outlineLevel="1" x14ac:dyDescent="0.35">
      <c r="A78" s="8"/>
      <c r="B78" s="9" t="s">
        <v>91</v>
      </c>
      <c r="C78" s="22">
        <f>16.5/0.25+1</f>
        <v>67</v>
      </c>
      <c r="D78" s="22">
        <v>1</v>
      </c>
      <c r="E78" s="9">
        <v>1</v>
      </c>
      <c r="F78" s="10">
        <f t="shared" si="6"/>
        <v>67</v>
      </c>
      <c r="G78" s="10"/>
      <c r="H78" s="10"/>
      <c r="I78" s="10"/>
      <c r="J78" s="14"/>
      <c r="K78" s="14"/>
      <c r="L78" s="22"/>
      <c r="M78" s="47"/>
      <c r="N78" s="41"/>
      <c r="O78" s="22"/>
      <c r="P78" s="22"/>
      <c r="Q78" s="45"/>
      <c r="S78" s="50"/>
      <c r="T78" s="50"/>
      <c r="U78" s="50"/>
      <c r="V78" s="50"/>
    </row>
    <row r="79" spans="1:22" s="2" customFormat="1" hidden="1" outlineLevel="1" x14ac:dyDescent="0.35">
      <c r="A79" s="8"/>
      <c r="B79" s="9"/>
      <c r="C79" s="22"/>
      <c r="D79" s="22"/>
      <c r="E79" s="9"/>
      <c r="F79" s="10">
        <f t="shared" si="6"/>
        <v>0</v>
      </c>
      <c r="G79" s="10"/>
      <c r="H79" s="10"/>
      <c r="I79" s="10"/>
      <c r="J79" s="14"/>
      <c r="K79" s="14"/>
      <c r="L79" s="22"/>
      <c r="M79" s="47"/>
      <c r="N79" s="41"/>
      <c r="O79" s="22"/>
      <c r="P79" s="22"/>
      <c r="Q79" s="45"/>
      <c r="S79" s="50"/>
      <c r="T79" s="50"/>
      <c r="U79" s="50"/>
      <c r="V79" s="50"/>
    </row>
    <row r="80" spans="1:22" s="2" customFormat="1" hidden="1" outlineLevel="1" x14ac:dyDescent="0.35">
      <c r="A80" s="8"/>
      <c r="B80" s="9"/>
      <c r="C80" s="22"/>
      <c r="D80" s="22"/>
      <c r="E80" s="9"/>
      <c r="F80" s="10"/>
      <c r="G80" s="10"/>
      <c r="H80" s="10"/>
      <c r="I80" s="10"/>
      <c r="J80" s="14"/>
      <c r="K80" s="14"/>
      <c r="L80" s="22"/>
      <c r="M80" s="47"/>
      <c r="N80" s="41"/>
      <c r="O80" s="22"/>
      <c r="P80" s="22"/>
      <c r="Q80" s="45"/>
      <c r="S80" s="50"/>
      <c r="T80" s="50"/>
      <c r="U80" s="50"/>
      <c r="V80" s="50"/>
    </row>
    <row r="81" spans="1:22" s="2" customFormat="1" hidden="1" outlineLevel="1" x14ac:dyDescent="0.35">
      <c r="A81" s="8"/>
      <c r="B81" s="9"/>
      <c r="C81" s="22"/>
      <c r="D81" s="22"/>
      <c r="E81" s="9"/>
      <c r="F81" s="10">
        <f>SUM(F75:F80)</f>
        <v>308</v>
      </c>
      <c r="G81" s="10"/>
      <c r="H81" s="10"/>
      <c r="I81" s="10"/>
      <c r="J81" s="14"/>
      <c r="K81" s="14"/>
      <c r="L81" s="22"/>
      <c r="M81" s="47"/>
      <c r="N81" s="41"/>
      <c r="O81" s="22"/>
      <c r="P81" s="22"/>
      <c r="Q81" s="45"/>
      <c r="S81" s="50"/>
      <c r="T81" s="50"/>
      <c r="U81" s="50"/>
      <c r="V81" s="50"/>
    </row>
    <row r="82" spans="1:22" s="2" customFormat="1" hidden="1" outlineLevel="1" x14ac:dyDescent="0.35">
      <c r="A82" s="8"/>
      <c r="B82" s="9"/>
      <c r="C82" s="22"/>
      <c r="D82" s="22" t="s">
        <v>154</v>
      </c>
      <c r="E82" s="9"/>
      <c r="F82" s="10">
        <v>0.88800000000000001</v>
      </c>
      <c r="G82" s="10"/>
      <c r="H82" s="10"/>
      <c r="I82" s="10"/>
      <c r="J82" s="14"/>
      <c r="K82" s="14"/>
      <c r="L82" s="22"/>
      <c r="M82" s="47"/>
      <c r="N82" s="41"/>
      <c r="O82" s="22"/>
      <c r="P82" s="22"/>
      <c r="Q82" s="45"/>
      <c r="S82" s="50"/>
      <c r="T82" s="50"/>
      <c r="U82" s="50"/>
      <c r="V82" s="50"/>
    </row>
    <row r="83" spans="1:22" s="2" customFormat="1" hidden="1" outlineLevel="1" x14ac:dyDescent="0.35">
      <c r="A83" s="8"/>
      <c r="B83" s="9"/>
      <c r="C83" s="22"/>
      <c r="D83" s="22"/>
      <c r="E83" s="9"/>
      <c r="F83" s="10"/>
      <c r="G83" s="10"/>
      <c r="H83" s="10"/>
      <c r="I83" s="10"/>
      <c r="J83" s="14"/>
      <c r="K83" s="14"/>
      <c r="L83" s="22"/>
      <c r="M83" s="47"/>
      <c r="N83" s="41"/>
      <c r="O83" s="22"/>
      <c r="P83" s="22"/>
      <c r="Q83" s="45"/>
      <c r="S83" s="50"/>
      <c r="T83" s="50"/>
      <c r="U83" s="50"/>
      <c r="V83" s="50"/>
    </row>
    <row r="84" spans="1:22" s="2" customFormat="1" hidden="1" outlineLevel="1" x14ac:dyDescent="0.35">
      <c r="A84" s="8"/>
      <c r="B84" s="9"/>
      <c r="C84" s="22"/>
      <c r="D84" s="22"/>
      <c r="E84" s="9"/>
      <c r="F84" s="10">
        <f>+F81*F82</f>
        <v>273.50400000000002</v>
      </c>
      <c r="G84" s="10"/>
      <c r="H84" s="10"/>
      <c r="I84" s="10"/>
      <c r="J84" s="14"/>
      <c r="K84" s="14"/>
      <c r="L84" s="22"/>
      <c r="M84" s="47"/>
      <c r="N84" s="41"/>
      <c r="O84" s="22"/>
      <c r="P84" s="22"/>
      <c r="Q84" s="45"/>
      <c r="S84" s="50"/>
      <c r="T84" s="50"/>
      <c r="U84" s="50"/>
      <c r="V84" s="50"/>
    </row>
    <row r="85" spans="1:22" collapsed="1" x14ac:dyDescent="0.35">
      <c r="A85" s="6"/>
      <c r="B85" s="56"/>
      <c r="C85" s="86"/>
      <c r="D85" s="86"/>
      <c r="E85" s="56"/>
      <c r="F85" s="6"/>
      <c r="G85" s="6"/>
      <c r="H85" s="6"/>
      <c r="I85" s="6"/>
      <c r="J85" s="14"/>
      <c r="K85" s="14"/>
      <c r="L85" s="21"/>
      <c r="M85" s="46"/>
      <c r="N85" s="40"/>
      <c r="O85" s="21"/>
      <c r="P85" s="21"/>
      <c r="Q85" s="45"/>
      <c r="S85" s="3"/>
      <c r="T85" s="3"/>
      <c r="U85" s="3"/>
      <c r="V85" s="3"/>
    </row>
    <row r="86" spans="1:22" x14ac:dyDescent="0.35">
      <c r="A86" s="6">
        <f>+A74+1</f>
        <v>8</v>
      </c>
      <c r="B86" s="57" t="s">
        <v>162</v>
      </c>
      <c r="C86" s="85"/>
      <c r="D86" s="85"/>
      <c r="E86" s="57"/>
      <c r="F86" s="58">
        <f>+ROUNDUP(F98,0)</f>
        <v>1322</v>
      </c>
      <c r="G86" s="6" t="s">
        <v>154</v>
      </c>
      <c r="H86" s="6"/>
      <c r="I86" s="6" t="str">
        <f>+$Q$2</f>
        <v>??</v>
      </c>
      <c r="J86" s="14" t="e">
        <f>+F86*H86*I86</f>
        <v>#VALUE!</v>
      </c>
      <c r="K86" s="14"/>
      <c r="L86" s="21"/>
      <c r="M86" s="46">
        <v>2.5000000000000001E-2</v>
      </c>
      <c r="N86" s="40">
        <f>+L86*M86</f>
        <v>0</v>
      </c>
      <c r="O86" s="21"/>
      <c r="P86" s="21"/>
      <c r="Q86" s="45">
        <f>+(F86*L86)+(F86*N86)+O86+P86</f>
        <v>0</v>
      </c>
      <c r="S86" s="53" t="e">
        <f>+T86/F86</f>
        <v>#VALUE!</v>
      </c>
      <c r="T86" s="49" t="e">
        <f>+J86+K86+Q86</f>
        <v>#VALUE!</v>
      </c>
      <c r="U86" s="49"/>
      <c r="V86" s="53">
        <f>+F86*H86</f>
        <v>0</v>
      </c>
    </row>
    <row r="87" spans="1:22" s="2" customFormat="1" hidden="1" outlineLevel="1" x14ac:dyDescent="0.35">
      <c r="A87" s="8"/>
      <c r="B87" s="9" t="s">
        <v>37</v>
      </c>
      <c r="C87" s="22">
        <f>21.5/0.3+1</f>
        <v>72.666666666666671</v>
      </c>
      <c r="D87" s="22">
        <v>2.2999999999999998</v>
      </c>
      <c r="E87" s="9">
        <v>1</v>
      </c>
      <c r="F87" s="10">
        <f>+C87*D87*E87</f>
        <v>167.13333333333333</v>
      </c>
      <c r="G87" s="10"/>
      <c r="H87" s="10"/>
      <c r="I87" s="10"/>
      <c r="J87" s="14"/>
      <c r="K87" s="14"/>
      <c r="L87" s="22"/>
      <c r="M87" s="47"/>
      <c r="N87" s="41"/>
      <c r="O87" s="22"/>
      <c r="P87" s="22"/>
      <c r="Q87" s="45"/>
      <c r="S87" s="50"/>
      <c r="T87" s="50"/>
      <c r="U87" s="50"/>
      <c r="V87" s="50"/>
    </row>
    <row r="88" spans="1:22" s="2" customFormat="1" hidden="1" outlineLevel="1" x14ac:dyDescent="0.35">
      <c r="A88" s="8"/>
      <c r="B88" s="9" t="s">
        <v>107</v>
      </c>
      <c r="C88" s="22">
        <f>21.5/0.3+1</f>
        <v>72.666666666666671</v>
      </c>
      <c r="D88" s="22">
        <v>2.2999999999999998</v>
      </c>
      <c r="E88" s="9">
        <v>1</v>
      </c>
      <c r="F88" s="10">
        <f t="shared" ref="F88:F93" si="7">+C88*D88*E88</f>
        <v>167.13333333333333</v>
      </c>
      <c r="G88" s="10"/>
      <c r="H88" s="10"/>
      <c r="I88" s="10"/>
      <c r="J88" s="14"/>
      <c r="K88" s="14"/>
      <c r="L88" s="22"/>
      <c r="M88" s="47"/>
      <c r="N88" s="41"/>
      <c r="O88" s="22"/>
      <c r="P88" s="22"/>
      <c r="Q88" s="45"/>
      <c r="S88" s="50"/>
      <c r="T88" s="50"/>
      <c r="U88" s="50"/>
      <c r="V88" s="50"/>
    </row>
    <row r="89" spans="1:22" s="2" customFormat="1" hidden="1" outlineLevel="1" x14ac:dyDescent="0.35">
      <c r="A89" s="8"/>
      <c r="B89" s="9" t="s">
        <v>87</v>
      </c>
      <c r="C89" s="22">
        <f>16.5/0.3+1</f>
        <v>56</v>
      </c>
      <c r="D89" s="22">
        <v>2.2999999999999998</v>
      </c>
      <c r="E89" s="9">
        <v>1</v>
      </c>
      <c r="F89" s="10">
        <f t="shared" si="7"/>
        <v>128.79999999999998</v>
      </c>
      <c r="G89" s="10"/>
      <c r="H89" s="10"/>
      <c r="I89" s="10"/>
      <c r="J89" s="14"/>
      <c r="K89" s="14"/>
      <c r="L89" s="22"/>
      <c r="M89" s="47"/>
      <c r="N89" s="41"/>
      <c r="O89" s="22"/>
      <c r="P89" s="22"/>
      <c r="Q89" s="45"/>
      <c r="S89" s="50"/>
      <c r="T89" s="50"/>
      <c r="U89" s="50"/>
      <c r="V89" s="50"/>
    </row>
    <row r="90" spans="1:22" s="2" customFormat="1" hidden="1" outlineLevel="1" x14ac:dyDescent="0.35">
      <c r="A90" s="8"/>
      <c r="B90" s="9" t="s">
        <v>91</v>
      </c>
      <c r="C90" s="22">
        <f>16.5/0.3+1</f>
        <v>56</v>
      </c>
      <c r="D90" s="22">
        <v>2.2999999999999998</v>
      </c>
      <c r="E90" s="9">
        <v>1</v>
      </c>
      <c r="F90" s="10">
        <f t="shared" si="7"/>
        <v>128.79999999999998</v>
      </c>
      <c r="G90" s="10"/>
      <c r="H90" s="10"/>
      <c r="I90" s="10"/>
      <c r="J90" s="14"/>
      <c r="K90" s="14"/>
      <c r="L90" s="22"/>
      <c r="M90" s="47"/>
      <c r="N90" s="41"/>
      <c r="O90" s="22"/>
      <c r="P90" s="22"/>
      <c r="Q90" s="45"/>
      <c r="S90" s="50"/>
      <c r="T90" s="50"/>
      <c r="U90" s="50"/>
      <c r="V90" s="50"/>
    </row>
    <row r="91" spans="1:22" s="2" customFormat="1" hidden="1" outlineLevel="1" x14ac:dyDescent="0.35">
      <c r="A91" s="8"/>
      <c r="B91" s="9" t="s">
        <v>129</v>
      </c>
      <c r="C91" s="22">
        <f>22.5/0.2+1</f>
        <v>113.5</v>
      </c>
      <c r="D91" s="22">
        <v>1.1000000000000001</v>
      </c>
      <c r="E91" s="9">
        <v>1</v>
      </c>
      <c r="F91" s="10">
        <f t="shared" si="7"/>
        <v>124.85000000000001</v>
      </c>
      <c r="G91" s="10"/>
      <c r="H91" s="10"/>
      <c r="I91" s="10"/>
      <c r="J91" s="14"/>
      <c r="K91" s="14"/>
      <c r="L91" s="22"/>
      <c r="M91" s="47"/>
      <c r="N91" s="41"/>
      <c r="O91" s="22"/>
      <c r="P91" s="22"/>
      <c r="Q91" s="45"/>
      <c r="S91" s="50"/>
      <c r="T91" s="50"/>
      <c r="U91" s="50"/>
      <c r="V91" s="50"/>
    </row>
    <row r="92" spans="1:22" s="2" customFormat="1" hidden="1" outlineLevel="1" x14ac:dyDescent="0.35">
      <c r="A92" s="8"/>
      <c r="B92" s="9" t="s">
        <v>136</v>
      </c>
      <c r="C92" s="22">
        <f>SUM(C87:C90)</f>
        <v>257.33333333333337</v>
      </c>
      <c r="D92" s="22">
        <v>3</v>
      </c>
      <c r="E92" s="9">
        <v>1</v>
      </c>
      <c r="F92" s="10">
        <f t="shared" si="7"/>
        <v>772.00000000000011</v>
      </c>
      <c r="G92" s="10"/>
      <c r="H92" s="10"/>
      <c r="I92" s="10"/>
      <c r="J92" s="14"/>
      <c r="K92" s="14"/>
      <c r="L92" s="22"/>
      <c r="M92" s="47"/>
      <c r="N92" s="41"/>
      <c r="O92" s="22"/>
      <c r="P92" s="22"/>
      <c r="Q92" s="45"/>
      <c r="S92" s="50"/>
      <c r="T92" s="50"/>
      <c r="U92" s="50"/>
      <c r="V92" s="50"/>
    </row>
    <row r="93" spans="1:22" s="2" customFormat="1" hidden="1" outlineLevel="1" x14ac:dyDescent="0.35">
      <c r="A93" s="8"/>
      <c r="B93" s="9"/>
      <c r="C93" s="22"/>
      <c r="D93" s="22"/>
      <c r="E93" s="9"/>
      <c r="F93" s="10">
        <f t="shared" si="7"/>
        <v>0</v>
      </c>
      <c r="G93" s="10"/>
      <c r="H93" s="10"/>
      <c r="I93" s="10"/>
      <c r="J93" s="14"/>
      <c r="K93" s="14"/>
      <c r="L93" s="22"/>
      <c r="M93" s="47"/>
      <c r="N93" s="41"/>
      <c r="O93" s="22"/>
      <c r="P93" s="22"/>
      <c r="Q93" s="45"/>
      <c r="S93" s="50"/>
      <c r="T93" s="50"/>
      <c r="U93" s="50"/>
      <c r="V93" s="50"/>
    </row>
    <row r="94" spans="1:22" s="2" customFormat="1" hidden="1" outlineLevel="1" x14ac:dyDescent="0.35">
      <c r="A94" s="8"/>
      <c r="B94" s="9"/>
      <c r="C94" s="22"/>
      <c r="D94" s="22"/>
      <c r="E94" s="9"/>
      <c r="F94" s="10"/>
      <c r="G94" s="10"/>
      <c r="H94" s="10"/>
      <c r="I94" s="10"/>
      <c r="J94" s="14"/>
      <c r="K94" s="14"/>
      <c r="L94" s="22"/>
      <c r="M94" s="47"/>
      <c r="N94" s="41"/>
      <c r="O94" s="22"/>
      <c r="P94" s="22"/>
      <c r="Q94" s="45"/>
      <c r="S94" s="50"/>
      <c r="T94" s="50"/>
      <c r="U94" s="50"/>
      <c r="V94" s="50"/>
    </row>
    <row r="95" spans="1:22" s="2" customFormat="1" hidden="1" outlineLevel="1" x14ac:dyDescent="0.35">
      <c r="A95" s="8"/>
      <c r="B95" s="9"/>
      <c r="C95" s="22"/>
      <c r="D95" s="22"/>
      <c r="E95" s="9"/>
      <c r="F95" s="10">
        <f>SUM(F87:F94)</f>
        <v>1488.7166666666667</v>
      </c>
      <c r="G95" s="10"/>
      <c r="H95" s="10"/>
      <c r="I95" s="10"/>
      <c r="J95" s="14"/>
      <c r="K95" s="14"/>
      <c r="L95" s="22"/>
      <c r="M95" s="47"/>
      <c r="N95" s="41"/>
      <c r="O95" s="22"/>
      <c r="P95" s="22"/>
      <c r="Q95" s="45"/>
      <c r="S95" s="50"/>
      <c r="T95" s="50"/>
      <c r="U95" s="50"/>
      <c r="V95" s="50"/>
    </row>
    <row r="96" spans="1:22" s="2" customFormat="1" hidden="1" outlineLevel="1" x14ac:dyDescent="0.35">
      <c r="A96" s="8"/>
      <c r="B96" s="9"/>
      <c r="C96" s="22"/>
      <c r="D96" s="22" t="s">
        <v>154</v>
      </c>
      <c r="E96" s="9"/>
      <c r="F96" s="10">
        <v>0.88800000000000001</v>
      </c>
      <c r="G96" s="10"/>
      <c r="H96" s="10"/>
      <c r="I96" s="10"/>
      <c r="J96" s="14"/>
      <c r="K96" s="14"/>
      <c r="L96" s="22"/>
      <c r="M96" s="47"/>
      <c r="N96" s="41"/>
      <c r="O96" s="22"/>
      <c r="P96" s="22"/>
      <c r="Q96" s="45"/>
      <c r="S96" s="50"/>
      <c r="T96" s="50"/>
      <c r="U96" s="50"/>
      <c r="V96" s="50"/>
    </row>
    <row r="97" spans="1:22" s="2" customFormat="1" hidden="1" outlineLevel="1" x14ac:dyDescent="0.35">
      <c r="A97" s="8"/>
      <c r="B97" s="9"/>
      <c r="C97" s="22"/>
      <c r="D97" s="22"/>
      <c r="E97" s="9"/>
      <c r="F97" s="10"/>
      <c r="G97" s="10"/>
      <c r="H97" s="10"/>
      <c r="I97" s="10"/>
      <c r="J97" s="14"/>
      <c r="K97" s="14"/>
      <c r="L97" s="22"/>
      <c r="M97" s="47"/>
      <c r="N97" s="41"/>
      <c r="O97" s="22"/>
      <c r="P97" s="22"/>
      <c r="Q97" s="45"/>
      <c r="S97" s="50"/>
      <c r="T97" s="50"/>
      <c r="U97" s="50"/>
      <c r="V97" s="50"/>
    </row>
    <row r="98" spans="1:22" s="2" customFormat="1" hidden="1" outlineLevel="1" x14ac:dyDescent="0.35">
      <c r="A98" s="8"/>
      <c r="B98" s="9"/>
      <c r="C98" s="22"/>
      <c r="D98" s="22"/>
      <c r="E98" s="9"/>
      <c r="F98" s="10">
        <f>+F95*F96</f>
        <v>1321.9804000000001</v>
      </c>
      <c r="G98" s="10"/>
      <c r="H98" s="10"/>
      <c r="I98" s="10"/>
      <c r="J98" s="14"/>
      <c r="K98" s="14"/>
      <c r="L98" s="22"/>
      <c r="M98" s="47"/>
      <c r="N98" s="41"/>
      <c r="O98" s="22"/>
      <c r="P98" s="22"/>
      <c r="Q98" s="45"/>
      <c r="S98" s="50"/>
      <c r="T98" s="50"/>
      <c r="U98" s="50"/>
      <c r="V98" s="50"/>
    </row>
    <row r="99" spans="1:22" collapsed="1" x14ac:dyDescent="0.35">
      <c r="A99" s="6"/>
      <c r="B99" s="56"/>
      <c r="C99" s="86"/>
      <c r="D99" s="86"/>
      <c r="E99" s="56"/>
      <c r="F99" s="6"/>
      <c r="G99" s="6"/>
      <c r="H99" s="6"/>
      <c r="I99" s="6"/>
      <c r="J99" s="14"/>
      <c r="K99" s="14"/>
      <c r="L99" s="21"/>
      <c r="M99" s="46"/>
      <c r="N99" s="40"/>
      <c r="O99" s="21"/>
      <c r="P99" s="21"/>
      <c r="Q99" s="45"/>
      <c r="S99" s="3"/>
      <c r="T99" s="3"/>
      <c r="U99" s="3"/>
      <c r="V99" s="3"/>
    </row>
    <row r="100" spans="1:22" x14ac:dyDescent="0.35">
      <c r="A100" s="6">
        <f>+A86+1</f>
        <v>9</v>
      </c>
      <c r="B100" s="57" t="s">
        <v>163</v>
      </c>
      <c r="C100" s="85"/>
      <c r="D100" s="85"/>
      <c r="E100" s="57"/>
      <c r="F100" s="58">
        <v>552</v>
      </c>
      <c r="G100" s="6" t="s">
        <v>154</v>
      </c>
      <c r="H100" s="6"/>
      <c r="I100" s="6" t="str">
        <f>+$Q$2</f>
        <v>??</v>
      </c>
      <c r="J100" s="14" t="e">
        <f>+F100*H100*I100</f>
        <v>#VALUE!</v>
      </c>
      <c r="K100" s="14"/>
      <c r="L100" s="21"/>
      <c r="M100" s="46">
        <v>2.5000000000000001E-2</v>
      </c>
      <c r="N100" s="40">
        <f>+L100*M100</f>
        <v>0</v>
      </c>
      <c r="O100" s="21"/>
      <c r="P100" s="21"/>
      <c r="Q100" s="45">
        <f>+(F100*L100)+(F100*N100)+O100+P100</f>
        <v>0</v>
      </c>
      <c r="S100" s="53" t="e">
        <f>+T100/F100</f>
        <v>#VALUE!</v>
      </c>
      <c r="T100" s="49" t="e">
        <f>+J100+K100+Q100</f>
        <v>#VALUE!</v>
      </c>
      <c r="U100" s="49"/>
      <c r="V100" s="53">
        <f>+F100*H100</f>
        <v>0</v>
      </c>
    </row>
    <row r="101" spans="1:22" s="2" customFormat="1" hidden="1" outlineLevel="1" x14ac:dyDescent="0.35">
      <c r="A101" s="8"/>
      <c r="B101" s="9" t="s">
        <v>129</v>
      </c>
      <c r="C101" s="22">
        <v>22.5</v>
      </c>
      <c r="D101" s="22">
        <v>3</v>
      </c>
      <c r="E101" s="9">
        <v>1</v>
      </c>
      <c r="F101" s="10">
        <f t="shared" ref="F101:F104" si="8">+C101*D101*E101</f>
        <v>67.5</v>
      </c>
      <c r="G101" s="10"/>
      <c r="H101" s="10"/>
      <c r="I101" s="10"/>
      <c r="J101" s="14"/>
      <c r="K101" s="14"/>
      <c r="L101" s="22"/>
      <c r="M101" s="47"/>
      <c r="N101" s="41"/>
      <c r="O101" s="22"/>
      <c r="P101" s="22"/>
      <c r="Q101" s="45"/>
      <c r="S101" s="50"/>
      <c r="T101" s="50"/>
      <c r="U101" s="50"/>
      <c r="V101" s="50"/>
    </row>
    <row r="102" spans="1:22" s="2" customFormat="1" hidden="1" outlineLevel="1" x14ac:dyDescent="0.35">
      <c r="A102" s="8"/>
      <c r="B102" s="9" t="s">
        <v>160</v>
      </c>
      <c r="C102" s="22">
        <v>2</v>
      </c>
      <c r="D102" s="22">
        <v>3</v>
      </c>
      <c r="E102" s="9">
        <v>1</v>
      </c>
      <c r="F102" s="10">
        <f t="shared" si="8"/>
        <v>6</v>
      </c>
      <c r="G102" s="10"/>
      <c r="H102" s="10"/>
      <c r="I102" s="10"/>
      <c r="J102" s="14"/>
      <c r="K102" s="14"/>
      <c r="L102" s="22"/>
      <c r="M102" s="47"/>
      <c r="N102" s="41"/>
      <c r="O102" s="22"/>
      <c r="P102" s="22"/>
      <c r="Q102" s="45"/>
      <c r="S102" s="50"/>
      <c r="T102" s="50"/>
      <c r="U102" s="50"/>
      <c r="V102" s="50"/>
    </row>
    <row r="103" spans="1:22" s="2" customFormat="1" hidden="1" outlineLevel="1" x14ac:dyDescent="0.35">
      <c r="A103" s="8"/>
      <c r="B103" s="9" t="s">
        <v>136</v>
      </c>
      <c r="C103" s="22">
        <v>16</v>
      </c>
      <c r="D103" s="22">
        <v>6</v>
      </c>
      <c r="E103" s="9">
        <v>1</v>
      </c>
      <c r="F103" s="10">
        <f t="shared" si="8"/>
        <v>96</v>
      </c>
      <c r="G103" s="10"/>
      <c r="H103" s="10"/>
      <c r="I103" s="10"/>
      <c r="J103" s="14"/>
      <c r="K103" s="14"/>
      <c r="L103" s="22"/>
      <c r="M103" s="47"/>
      <c r="N103" s="41"/>
      <c r="O103" s="22"/>
      <c r="P103" s="22"/>
      <c r="Q103" s="45"/>
      <c r="S103" s="50"/>
      <c r="T103" s="50"/>
      <c r="U103" s="50"/>
      <c r="V103" s="50"/>
    </row>
    <row r="104" spans="1:22" s="2" customFormat="1" hidden="1" outlineLevel="1" x14ac:dyDescent="0.35">
      <c r="A104" s="8"/>
      <c r="B104" s="9" t="s">
        <v>160</v>
      </c>
      <c r="C104" s="22">
        <v>1</v>
      </c>
      <c r="D104" s="22">
        <v>21</v>
      </c>
      <c r="E104" s="9">
        <v>1</v>
      </c>
      <c r="F104" s="10">
        <f t="shared" si="8"/>
        <v>21</v>
      </c>
      <c r="G104" s="10"/>
      <c r="H104" s="10"/>
      <c r="I104" s="10"/>
      <c r="J104" s="14"/>
      <c r="K104" s="14"/>
      <c r="L104" s="22"/>
      <c r="M104" s="47"/>
      <c r="N104" s="41"/>
      <c r="O104" s="22"/>
      <c r="P104" s="22"/>
      <c r="Q104" s="45"/>
      <c r="S104" s="50"/>
      <c r="T104" s="50"/>
      <c r="U104" s="50"/>
      <c r="V104" s="50"/>
    </row>
    <row r="105" spans="1:22" s="2" customFormat="1" hidden="1" outlineLevel="1" x14ac:dyDescent="0.35">
      <c r="A105" s="8"/>
      <c r="B105" s="9"/>
      <c r="C105" s="22"/>
      <c r="D105" s="22">
        <v>2.2999999999999998</v>
      </c>
      <c r="E105" s="9"/>
      <c r="F105" s="10"/>
      <c r="G105" s="10"/>
      <c r="H105" s="10"/>
      <c r="I105" s="10"/>
      <c r="J105" s="14"/>
      <c r="K105" s="14"/>
      <c r="L105" s="22"/>
      <c r="M105" s="47"/>
      <c r="N105" s="41"/>
      <c r="O105" s="22"/>
      <c r="P105" s="22"/>
      <c r="Q105" s="45"/>
      <c r="S105" s="50"/>
      <c r="T105" s="50"/>
      <c r="U105" s="50"/>
      <c r="V105" s="50"/>
    </row>
    <row r="106" spans="1:22" s="2" customFormat="1" hidden="1" outlineLevel="1" x14ac:dyDescent="0.35">
      <c r="A106" s="8"/>
      <c r="B106" s="9"/>
      <c r="C106" s="22"/>
      <c r="D106" s="22"/>
      <c r="E106" s="9"/>
      <c r="F106" s="10">
        <f>SUM(F101:F105)</f>
        <v>190.5</v>
      </c>
      <c r="G106" s="10"/>
      <c r="H106" s="10"/>
      <c r="I106" s="10"/>
      <c r="J106" s="14"/>
      <c r="K106" s="14"/>
      <c r="L106" s="22"/>
      <c r="M106" s="47"/>
      <c r="N106" s="41"/>
      <c r="O106" s="22"/>
      <c r="P106" s="22"/>
      <c r="Q106" s="45"/>
      <c r="S106" s="50"/>
      <c r="T106" s="50"/>
      <c r="U106" s="50"/>
      <c r="V106" s="50"/>
    </row>
    <row r="107" spans="1:22" s="2" customFormat="1" hidden="1" outlineLevel="1" x14ac:dyDescent="0.35">
      <c r="A107" s="8"/>
      <c r="B107" s="9"/>
      <c r="C107" s="22"/>
      <c r="D107" s="22" t="s">
        <v>154</v>
      </c>
      <c r="E107" s="9"/>
      <c r="F107" s="10">
        <v>0.88800000000000001</v>
      </c>
      <c r="G107" s="10"/>
      <c r="H107" s="10"/>
      <c r="I107" s="10"/>
      <c r="J107" s="14"/>
      <c r="K107" s="14"/>
      <c r="L107" s="22"/>
      <c r="M107" s="47"/>
      <c r="N107" s="41"/>
      <c r="O107" s="22"/>
      <c r="P107" s="22"/>
      <c r="Q107" s="45"/>
      <c r="S107" s="50"/>
      <c r="T107" s="50"/>
      <c r="U107" s="50"/>
      <c r="V107" s="50"/>
    </row>
    <row r="108" spans="1:22" s="2" customFormat="1" hidden="1" outlineLevel="1" x14ac:dyDescent="0.35">
      <c r="A108" s="8"/>
      <c r="B108" s="9"/>
      <c r="C108" s="22"/>
      <c r="D108" s="22"/>
      <c r="E108" s="9"/>
      <c r="F108" s="10"/>
      <c r="G108" s="10"/>
      <c r="H108" s="10"/>
      <c r="I108" s="10"/>
      <c r="J108" s="14"/>
      <c r="K108" s="14"/>
      <c r="L108" s="22"/>
      <c r="M108" s="47"/>
      <c r="N108" s="41"/>
      <c r="O108" s="22"/>
      <c r="P108" s="22"/>
      <c r="Q108" s="45"/>
      <c r="S108" s="50"/>
      <c r="T108" s="50"/>
      <c r="U108" s="50"/>
      <c r="V108" s="50"/>
    </row>
    <row r="109" spans="1:22" s="2" customFormat="1" hidden="1" outlineLevel="1" x14ac:dyDescent="0.35">
      <c r="A109" s="8"/>
      <c r="B109" s="9"/>
      <c r="C109" s="22"/>
      <c r="D109" s="22"/>
      <c r="E109" s="9"/>
      <c r="F109" s="10">
        <f>+F106*F107</f>
        <v>169.16400000000002</v>
      </c>
      <c r="G109" s="10"/>
      <c r="H109" s="10"/>
      <c r="I109" s="10"/>
      <c r="J109" s="14"/>
      <c r="K109" s="14"/>
      <c r="L109" s="22"/>
      <c r="M109" s="47"/>
      <c r="N109" s="41"/>
      <c r="O109" s="22"/>
      <c r="P109" s="22"/>
      <c r="Q109" s="45"/>
      <c r="S109" s="50"/>
      <c r="T109" s="50"/>
      <c r="U109" s="50"/>
      <c r="V109" s="50"/>
    </row>
    <row r="110" spans="1:22" collapsed="1" x14ac:dyDescent="0.35">
      <c r="A110" s="6"/>
      <c r="B110" s="56"/>
      <c r="C110" s="86"/>
      <c r="D110" s="86"/>
      <c r="E110" s="56"/>
      <c r="F110" s="6"/>
      <c r="G110" s="6"/>
      <c r="H110" s="6"/>
      <c r="I110" s="6"/>
      <c r="J110" s="14"/>
      <c r="K110" s="14"/>
      <c r="L110" s="21"/>
      <c r="M110" s="46"/>
      <c r="N110" s="40"/>
      <c r="O110" s="21"/>
      <c r="P110" s="21"/>
      <c r="Q110" s="45"/>
      <c r="S110" s="3"/>
      <c r="T110" s="3"/>
      <c r="U110" s="3"/>
      <c r="V110" s="3"/>
    </row>
    <row r="111" spans="1:22" x14ac:dyDescent="0.35">
      <c r="A111" s="6">
        <f>+A100+1</f>
        <v>10</v>
      </c>
      <c r="B111" s="57" t="s">
        <v>164</v>
      </c>
      <c r="C111" s="85"/>
      <c r="D111" s="85"/>
      <c r="E111" s="57"/>
      <c r="F111" s="58">
        <v>6552</v>
      </c>
      <c r="G111" s="6" t="s">
        <v>154</v>
      </c>
      <c r="H111" s="6"/>
      <c r="I111" s="6" t="str">
        <f>+$Q$2</f>
        <v>??</v>
      </c>
      <c r="J111" s="14" t="e">
        <f>+F111*H111*I111</f>
        <v>#VALUE!</v>
      </c>
      <c r="K111" s="14"/>
      <c r="L111" s="21"/>
      <c r="M111" s="46">
        <v>2.5000000000000001E-2</v>
      </c>
      <c r="N111" s="40">
        <f>+L111*M111</f>
        <v>0</v>
      </c>
      <c r="O111" s="21"/>
      <c r="P111" s="21"/>
      <c r="Q111" s="45">
        <f>+(F111*L111)+(F111*N111)+O111+P111</f>
        <v>0</v>
      </c>
      <c r="S111" s="53" t="e">
        <f>+T111/F111</f>
        <v>#VALUE!</v>
      </c>
      <c r="T111" s="49" t="e">
        <f>+J111+K111+Q111</f>
        <v>#VALUE!</v>
      </c>
      <c r="U111" s="49"/>
      <c r="V111" s="53">
        <f>+F111*H111</f>
        <v>0</v>
      </c>
    </row>
    <row r="112" spans="1:22" s="2" customFormat="1" hidden="1" outlineLevel="1" x14ac:dyDescent="0.35">
      <c r="A112" s="8"/>
      <c r="B112" s="9" t="s">
        <v>139</v>
      </c>
      <c r="C112" s="22">
        <v>3.5</v>
      </c>
      <c r="D112" s="22">
        <v>12</v>
      </c>
      <c r="E112" s="9">
        <v>25</v>
      </c>
      <c r="F112" s="10">
        <f>+C112*D112*E112</f>
        <v>1050</v>
      </c>
      <c r="G112" s="10"/>
      <c r="H112" s="10"/>
      <c r="I112" s="10"/>
      <c r="J112" s="14"/>
      <c r="K112" s="14"/>
      <c r="L112" s="22"/>
      <c r="M112" s="47"/>
      <c r="N112" s="41"/>
      <c r="O112" s="22"/>
      <c r="P112" s="22"/>
      <c r="Q112" s="45"/>
      <c r="S112" s="50"/>
      <c r="T112" s="50"/>
      <c r="U112" s="50"/>
      <c r="V112" s="50"/>
    </row>
    <row r="113" spans="1:22" s="2" customFormat="1" hidden="1" outlineLevel="1" x14ac:dyDescent="0.35">
      <c r="A113" s="8"/>
      <c r="B113" s="9" t="s">
        <v>140</v>
      </c>
      <c r="C113" s="22">
        <v>3.5</v>
      </c>
      <c r="D113" s="22">
        <v>10</v>
      </c>
      <c r="E113" s="9">
        <v>4</v>
      </c>
      <c r="F113" s="10">
        <f t="shared" ref="F113:F116" si="9">+C113*D113*E113</f>
        <v>140</v>
      </c>
      <c r="G113" s="10"/>
      <c r="H113" s="10"/>
      <c r="I113" s="10"/>
      <c r="J113" s="14"/>
      <c r="K113" s="14"/>
      <c r="L113" s="22"/>
      <c r="M113" s="47"/>
      <c r="N113" s="41"/>
      <c r="O113" s="22"/>
      <c r="P113" s="22"/>
      <c r="Q113" s="45"/>
      <c r="S113" s="50"/>
      <c r="T113" s="50"/>
      <c r="U113" s="50"/>
      <c r="V113" s="50"/>
    </row>
    <row r="114" spans="1:22" s="2" customFormat="1" hidden="1" outlineLevel="1" x14ac:dyDescent="0.35">
      <c r="A114" s="8"/>
      <c r="B114" s="9" t="s">
        <v>141</v>
      </c>
      <c r="C114" s="22">
        <v>3.5</v>
      </c>
      <c r="D114" s="22">
        <v>8</v>
      </c>
      <c r="E114" s="9">
        <v>1</v>
      </c>
      <c r="F114" s="10">
        <f t="shared" si="9"/>
        <v>28</v>
      </c>
      <c r="G114" s="10"/>
      <c r="H114" s="10"/>
      <c r="I114" s="10"/>
      <c r="J114" s="14"/>
      <c r="K114" s="14"/>
      <c r="L114" s="22"/>
      <c r="M114" s="47"/>
      <c r="N114" s="41"/>
      <c r="O114" s="22"/>
      <c r="P114" s="22"/>
      <c r="Q114" s="45"/>
      <c r="S114" s="50"/>
      <c r="T114" s="50"/>
      <c r="U114" s="50"/>
      <c r="V114" s="50"/>
    </row>
    <row r="115" spans="1:22" s="2" customFormat="1" hidden="1" outlineLevel="1" x14ac:dyDescent="0.35">
      <c r="A115" s="8"/>
      <c r="B115" s="9" t="s">
        <v>138</v>
      </c>
      <c r="C115" s="22">
        <v>1.25</v>
      </c>
      <c r="D115" s="22">
        <v>10</v>
      </c>
      <c r="E115" s="9">
        <v>8</v>
      </c>
      <c r="F115" s="10">
        <f t="shared" si="9"/>
        <v>100</v>
      </c>
      <c r="G115" s="10"/>
      <c r="H115" s="10"/>
      <c r="I115" s="10"/>
      <c r="J115" s="14"/>
      <c r="K115" s="14"/>
      <c r="L115" s="22"/>
      <c r="M115" s="47"/>
      <c r="N115" s="41"/>
      <c r="O115" s="22"/>
      <c r="P115" s="22"/>
      <c r="Q115" s="45"/>
      <c r="S115" s="50"/>
      <c r="T115" s="50"/>
      <c r="U115" s="50"/>
      <c r="V115" s="50"/>
    </row>
    <row r="116" spans="1:22" s="2" customFormat="1" hidden="1" outlineLevel="1" x14ac:dyDescent="0.35">
      <c r="A116" s="8"/>
      <c r="B116" s="9" t="s">
        <v>160</v>
      </c>
      <c r="C116" s="22">
        <v>30</v>
      </c>
      <c r="D116" s="22">
        <v>10</v>
      </c>
      <c r="E116" s="9">
        <v>1</v>
      </c>
      <c r="F116" s="10">
        <f t="shared" si="9"/>
        <v>300</v>
      </c>
      <c r="G116" s="10"/>
      <c r="H116" s="10"/>
      <c r="I116" s="10"/>
      <c r="J116" s="14"/>
      <c r="K116" s="14"/>
      <c r="L116" s="22"/>
      <c r="M116" s="47"/>
      <c r="N116" s="41"/>
      <c r="O116" s="22"/>
      <c r="P116" s="22"/>
      <c r="Q116" s="45"/>
      <c r="S116" s="50"/>
      <c r="T116" s="50"/>
      <c r="U116" s="50"/>
      <c r="V116" s="50"/>
    </row>
    <row r="117" spans="1:22" s="2" customFormat="1" hidden="1" outlineLevel="1" x14ac:dyDescent="0.35">
      <c r="A117" s="8"/>
      <c r="B117" s="9"/>
      <c r="C117" s="22"/>
      <c r="D117" s="22"/>
      <c r="E117" s="9"/>
      <c r="F117" s="10"/>
      <c r="G117" s="10"/>
      <c r="H117" s="10"/>
      <c r="I117" s="10"/>
      <c r="J117" s="14"/>
      <c r="K117" s="14"/>
      <c r="L117" s="22"/>
      <c r="M117" s="47"/>
      <c r="N117" s="41"/>
      <c r="O117" s="22"/>
      <c r="P117" s="22"/>
      <c r="Q117" s="45"/>
      <c r="S117" s="50"/>
      <c r="T117" s="50"/>
      <c r="U117" s="50"/>
      <c r="V117" s="50"/>
    </row>
    <row r="118" spans="1:22" s="2" customFormat="1" hidden="1" outlineLevel="1" x14ac:dyDescent="0.35">
      <c r="A118" s="8"/>
      <c r="B118" s="9"/>
      <c r="C118" s="22"/>
      <c r="D118" s="22"/>
      <c r="E118" s="9"/>
      <c r="F118" s="10">
        <f>SUM(F112:F117)</f>
        <v>1618</v>
      </c>
      <c r="G118" s="10"/>
      <c r="H118" s="10"/>
      <c r="I118" s="10"/>
      <c r="J118" s="14"/>
      <c r="K118" s="14"/>
      <c r="L118" s="22"/>
      <c r="M118" s="47"/>
      <c r="N118" s="41"/>
      <c r="O118" s="22"/>
      <c r="P118" s="22"/>
      <c r="Q118" s="45"/>
      <c r="S118" s="50"/>
      <c r="T118" s="50"/>
      <c r="U118" s="50"/>
      <c r="V118" s="50"/>
    </row>
    <row r="119" spans="1:22" s="2" customFormat="1" hidden="1" outlineLevel="1" x14ac:dyDescent="0.35">
      <c r="A119" s="8"/>
      <c r="B119" s="9"/>
      <c r="C119" s="22"/>
      <c r="D119" s="22" t="s">
        <v>154</v>
      </c>
      <c r="E119" s="9"/>
      <c r="F119" s="10">
        <v>2.4660000000000002</v>
      </c>
      <c r="G119" s="10"/>
      <c r="H119" s="10"/>
      <c r="I119" s="10"/>
      <c r="J119" s="14"/>
      <c r="K119" s="14"/>
      <c r="L119" s="22"/>
      <c r="M119" s="47"/>
      <c r="N119" s="41"/>
      <c r="O119" s="22"/>
      <c r="P119" s="22"/>
      <c r="Q119" s="45"/>
      <c r="S119" s="50"/>
      <c r="T119" s="50"/>
      <c r="U119" s="50"/>
      <c r="V119" s="50"/>
    </row>
    <row r="120" spans="1:22" s="2" customFormat="1" hidden="1" outlineLevel="1" x14ac:dyDescent="0.35">
      <c r="A120" s="8"/>
      <c r="B120" s="9"/>
      <c r="C120" s="22"/>
      <c r="D120" s="22"/>
      <c r="E120" s="9"/>
      <c r="F120" s="10"/>
      <c r="G120" s="10"/>
      <c r="H120" s="10"/>
      <c r="I120" s="10"/>
      <c r="J120" s="14"/>
      <c r="K120" s="14"/>
      <c r="L120" s="22"/>
      <c r="M120" s="47"/>
      <c r="N120" s="41"/>
      <c r="O120" s="22"/>
      <c r="P120" s="22"/>
      <c r="Q120" s="45"/>
      <c r="S120" s="50"/>
      <c r="T120" s="50"/>
      <c r="U120" s="50"/>
      <c r="V120" s="50"/>
    </row>
    <row r="121" spans="1:22" s="2" customFormat="1" hidden="1" outlineLevel="1" x14ac:dyDescent="0.35">
      <c r="A121" s="8"/>
      <c r="B121" s="9"/>
      <c r="C121" s="22"/>
      <c r="D121" s="22"/>
      <c r="E121" s="9"/>
      <c r="F121" s="10">
        <f>+F118*F119</f>
        <v>3989.9880000000003</v>
      </c>
      <c r="G121" s="10"/>
      <c r="H121" s="10"/>
      <c r="I121" s="10"/>
      <c r="J121" s="14"/>
      <c r="K121" s="14"/>
      <c r="L121" s="22"/>
      <c r="M121" s="47"/>
      <c r="N121" s="41"/>
      <c r="O121" s="22"/>
      <c r="P121" s="22"/>
      <c r="Q121" s="45"/>
      <c r="S121" s="50"/>
      <c r="T121" s="50"/>
      <c r="U121" s="50"/>
      <c r="V121" s="50"/>
    </row>
    <row r="122" spans="1:22" collapsed="1" x14ac:dyDescent="0.35">
      <c r="A122" s="6"/>
      <c r="B122" s="56"/>
      <c r="C122" s="86"/>
      <c r="D122" s="86"/>
      <c r="E122" s="56"/>
      <c r="F122" s="6"/>
      <c r="G122" s="6"/>
      <c r="H122" s="6"/>
      <c r="I122" s="6"/>
      <c r="J122" s="14"/>
      <c r="K122" s="14"/>
      <c r="L122" s="21"/>
      <c r="M122" s="46"/>
      <c r="N122" s="40"/>
      <c r="O122" s="21"/>
      <c r="P122" s="21"/>
      <c r="Q122" s="45"/>
      <c r="S122" s="3"/>
      <c r="T122" s="3"/>
      <c r="U122" s="3"/>
      <c r="V122" s="3"/>
    </row>
    <row r="123" spans="1:22" x14ac:dyDescent="0.35">
      <c r="A123" s="6">
        <f>+A111+1</f>
        <v>11</v>
      </c>
      <c r="B123" s="57" t="s">
        <v>166</v>
      </c>
      <c r="C123" s="85"/>
      <c r="D123" s="85"/>
      <c r="E123" s="57"/>
      <c r="F123" s="58">
        <v>3665</v>
      </c>
      <c r="G123" s="6" t="s">
        <v>154</v>
      </c>
      <c r="H123" s="6"/>
      <c r="I123" s="6" t="str">
        <f>+$Q$2</f>
        <v>??</v>
      </c>
      <c r="J123" s="14" t="e">
        <f>+F123*H123*I123</f>
        <v>#VALUE!</v>
      </c>
      <c r="K123" s="14"/>
      <c r="L123" s="21"/>
      <c r="M123" s="46">
        <v>2.5000000000000001E-2</v>
      </c>
      <c r="N123" s="40">
        <f>+L123*M123</f>
        <v>0</v>
      </c>
      <c r="O123" s="21"/>
      <c r="P123" s="21"/>
      <c r="Q123" s="45">
        <f>+(F123*L123)+(F123*N123)+O123+P123</f>
        <v>0</v>
      </c>
      <c r="S123" s="53" t="e">
        <f>+T123/F123</f>
        <v>#VALUE!</v>
      </c>
      <c r="T123" s="49" t="e">
        <f>+J123+K123+Q123</f>
        <v>#VALUE!</v>
      </c>
      <c r="U123" s="49"/>
      <c r="V123" s="53">
        <f>+F123*H123</f>
        <v>0</v>
      </c>
    </row>
    <row r="124" spans="1:22" s="2" customFormat="1" hidden="1" outlineLevel="1" x14ac:dyDescent="0.35">
      <c r="A124" s="8"/>
      <c r="B124" s="67" t="s">
        <v>165</v>
      </c>
      <c r="C124" s="22">
        <v>1.8</v>
      </c>
      <c r="D124" s="22">
        <f>3/0.2+1</f>
        <v>16</v>
      </c>
      <c r="E124" s="9">
        <f>25*3</f>
        <v>75</v>
      </c>
      <c r="F124" s="10">
        <f t="shared" ref="F124:F128" si="10">+C124*D124*E124</f>
        <v>2160</v>
      </c>
      <c r="G124" s="10"/>
      <c r="H124" s="10"/>
      <c r="I124" s="10"/>
      <c r="J124" s="14"/>
      <c r="K124" s="14"/>
      <c r="L124" s="22"/>
      <c r="M124" s="47"/>
      <c r="N124" s="41"/>
      <c r="O124" s="22"/>
      <c r="P124" s="22"/>
      <c r="Q124" s="45"/>
      <c r="S124" s="50"/>
      <c r="T124" s="50"/>
      <c r="U124" s="50"/>
      <c r="V124" s="50"/>
    </row>
    <row r="125" spans="1:22" s="2" customFormat="1" hidden="1" outlineLevel="1" x14ac:dyDescent="0.35">
      <c r="A125" s="8"/>
      <c r="B125" s="9" t="s">
        <v>140</v>
      </c>
      <c r="C125" s="22">
        <v>1.4</v>
      </c>
      <c r="D125" s="22">
        <f>3/0.2+1</f>
        <v>16</v>
      </c>
      <c r="E125" s="9">
        <f>4*2</f>
        <v>8</v>
      </c>
      <c r="F125" s="10">
        <f t="shared" si="10"/>
        <v>179.2</v>
      </c>
      <c r="G125" s="10"/>
      <c r="H125" s="10"/>
      <c r="I125" s="10"/>
      <c r="J125" s="14"/>
      <c r="K125" s="14"/>
      <c r="L125" s="22"/>
      <c r="M125" s="47"/>
      <c r="N125" s="41"/>
      <c r="O125" s="22"/>
      <c r="P125" s="22"/>
      <c r="Q125" s="45"/>
      <c r="S125" s="50"/>
      <c r="T125" s="50"/>
      <c r="U125" s="50"/>
      <c r="V125" s="50"/>
    </row>
    <row r="126" spans="1:22" s="2" customFormat="1" hidden="1" outlineLevel="1" x14ac:dyDescent="0.35">
      <c r="A126" s="8"/>
      <c r="B126" s="9"/>
      <c r="C126" s="22">
        <v>0.7</v>
      </c>
      <c r="D126" s="22">
        <f>3/0.2+1</f>
        <v>16</v>
      </c>
      <c r="E126" s="9">
        <v>4</v>
      </c>
      <c r="F126" s="10">
        <f t="shared" si="10"/>
        <v>44.8</v>
      </c>
      <c r="G126" s="10"/>
      <c r="H126" s="10"/>
      <c r="I126" s="10"/>
      <c r="J126" s="14"/>
      <c r="K126" s="14"/>
      <c r="L126" s="22"/>
      <c r="M126" s="47"/>
      <c r="N126" s="41"/>
      <c r="O126" s="22"/>
      <c r="P126" s="22"/>
      <c r="Q126" s="45"/>
      <c r="S126" s="50"/>
      <c r="T126" s="50"/>
      <c r="U126" s="50"/>
      <c r="V126" s="50"/>
    </row>
    <row r="127" spans="1:22" s="2" customFormat="1" hidden="1" outlineLevel="1" x14ac:dyDescent="0.35">
      <c r="A127" s="8"/>
      <c r="B127" s="9" t="s">
        <v>141</v>
      </c>
      <c r="C127" s="22">
        <v>1.8</v>
      </c>
      <c r="D127" s="22">
        <f>3/0.2+1</f>
        <v>16</v>
      </c>
      <c r="E127" s="9">
        <v>1</v>
      </c>
      <c r="F127" s="10">
        <f t="shared" si="10"/>
        <v>28.8</v>
      </c>
      <c r="G127" s="10"/>
      <c r="H127" s="10"/>
      <c r="I127" s="10"/>
      <c r="J127" s="14"/>
      <c r="K127" s="14"/>
      <c r="L127" s="22"/>
      <c r="M127" s="47"/>
      <c r="N127" s="41"/>
      <c r="O127" s="22"/>
      <c r="P127" s="22"/>
      <c r="Q127" s="45"/>
      <c r="S127" s="50"/>
      <c r="T127" s="50"/>
      <c r="U127" s="50"/>
      <c r="V127" s="50"/>
    </row>
    <row r="128" spans="1:22" s="2" customFormat="1" hidden="1" outlineLevel="1" x14ac:dyDescent="0.35">
      <c r="A128" s="8"/>
      <c r="B128" s="9"/>
      <c r="C128" s="22">
        <v>0.5</v>
      </c>
      <c r="D128" s="22">
        <f>3/0.2+1</f>
        <v>16</v>
      </c>
      <c r="E128" s="9">
        <v>2</v>
      </c>
      <c r="F128" s="10">
        <f t="shared" si="10"/>
        <v>16</v>
      </c>
      <c r="G128" s="10"/>
      <c r="H128" s="10"/>
      <c r="I128" s="10"/>
      <c r="J128" s="14"/>
      <c r="K128" s="14"/>
      <c r="L128" s="22"/>
      <c r="M128" s="47"/>
      <c r="N128" s="41"/>
      <c r="O128" s="22"/>
      <c r="P128" s="22"/>
      <c r="Q128" s="45"/>
      <c r="S128" s="50"/>
      <c r="T128" s="50"/>
      <c r="U128" s="50"/>
      <c r="V128" s="50"/>
    </row>
    <row r="129" spans="1:22" s="2" customFormat="1" hidden="1" outlineLevel="1" x14ac:dyDescent="0.35">
      <c r="A129" s="8"/>
      <c r="B129" s="9"/>
      <c r="C129" s="22"/>
      <c r="D129" s="22"/>
      <c r="E129" s="9"/>
      <c r="F129" s="10"/>
      <c r="G129" s="10"/>
      <c r="H129" s="10"/>
      <c r="I129" s="10"/>
      <c r="J129" s="14"/>
      <c r="K129" s="14"/>
      <c r="L129" s="22"/>
      <c r="M129" s="47"/>
      <c r="N129" s="41"/>
      <c r="O129" s="22"/>
      <c r="P129" s="22"/>
      <c r="Q129" s="45"/>
      <c r="S129" s="50"/>
      <c r="T129" s="50"/>
      <c r="U129" s="50"/>
      <c r="V129" s="50"/>
    </row>
    <row r="130" spans="1:22" s="2" customFormat="1" hidden="1" outlineLevel="1" x14ac:dyDescent="0.35">
      <c r="A130" s="8"/>
      <c r="B130" s="9"/>
      <c r="C130" s="22"/>
      <c r="D130" s="22"/>
      <c r="E130" s="9"/>
      <c r="F130" s="10">
        <f>SUM(F124:F129)</f>
        <v>2428.8000000000002</v>
      </c>
      <c r="G130" s="10"/>
      <c r="H130" s="10"/>
      <c r="I130" s="10"/>
      <c r="J130" s="14"/>
      <c r="K130" s="14"/>
      <c r="L130" s="22"/>
      <c r="M130" s="47"/>
      <c r="N130" s="41"/>
      <c r="O130" s="22"/>
      <c r="P130" s="22"/>
      <c r="Q130" s="45"/>
      <c r="S130" s="50"/>
      <c r="T130" s="50"/>
      <c r="U130" s="50"/>
      <c r="V130" s="50"/>
    </row>
    <row r="131" spans="1:22" s="2" customFormat="1" hidden="1" outlineLevel="1" x14ac:dyDescent="0.35">
      <c r="A131" s="8"/>
      <c r="B131" s="9"/>
      <c r="C131" s="22"/>
      <c r="D131" s="22" t="s">
        <v>154</v>
      </c>
      <c r="E131" s="9"/>
      <c r="F131" s="10">
        <v>0.88800000000000001</v>
      </c>
      <c r="G131" s="10"/>
      <c r="H131" s="10"/>
      <c r="I131" s="10"/>
      <c r="J131" s="14"/>
      <c r="K131" s="14"/>
      <c r="L131" s="22"/>
      <c r="M131" s="47"/>
      <c r="N131" s="41"/>
      <c r="O131" s="22"/>
      <c r="P131" s="22"/>
      <c r="Q131" s="45"/>
      <c r="S131" s="50"/>
      <c r="T131" s="50"/>
      <c r="U131" s="50"/>
      <c r="V131" s="50"/>
    </row>
    <row r="132" spans="1:22" s="2" customFormat="1" hidden="1" outlineLevel="1" x14ac:dyDescent="0.35">
      <c r="A132" s="8"/>
      <c r="B132" s="9"/>
      <c r="C132" s="22"/>
      <c r="D132" s="22"/>
      <c r="E132" s="9"/>
      <c r="F132" s="10"/>
      <c r="G132" s="10"/>
      <c r="H132" s="10"/>
      <c r="I132" s="10"/>
      <c r="J132" s="14"/>
      <c r="K132" s="14"/>
      <c r="L132" s="22"/>
      <c r="M132" s="47"/>
      <c r="N132" s="41"/>
      <c r="O132" s="22"/>
      <c r="P132" s="22"/>
      <c r="Q132" s="45"/>
      <c r="S132" s="50"/>
      <c r="T132" s="50"/>
      <c r="U132" s="50"/>
      <c r="V132" s="50"/>
    </row>
    <row r="133" spans="1:22" s="2" customFormat="1" hidden="1" outlineLevel="1" x14ac:dyDescent="0.35">
      <c r="A133" s="8"/>
      <c r="B133" s="9"/>
      <c r="C133" s="22"/>
      <c r="D133" s="22"/>
      <c r="E133" s="9"/>
      <c r="F133" s="10">
        <f>+F130*F131</f>
        <v>2156.7744000000002</v>
      </c>
      <c r="G133" s="10"/>
      <c r="H133" s="10"/>
      <c r="I133" s="10"/>
      <c r="J133" s="14"/>
      <c r="K133" s="14"/>
      <c r="L133" s="22"/>
      <c r="M133" s="47"/>
      <c r="N133" s="41"/>
      <c r="O133" s="22"/>
      <c r="P133" s="22"/>
      <c r="Q133" s="45"/>
      <c r="S133" s="50"/>
      <c r="T133" s="50"/>
      <c r="U133" s="50"/>
      <c r="V133" s="50"/>
    </row>
    <row r="134" spans="1:22" collapsed="1" x14ac:dyDescent="0.35">
      <c r="A134" s="6"/>
      <c r="B134" s="56"/>
      <c r="C134" s="86"/>
      <c r="D134" s="86"/>
      <c r="E134" s="56"/>
      <c r="F134" s="6"/>
      <c r="G134" s="6"/>
      <c r="H134" s="6"/>
      <c r="I134" s="6"/>
      <c r="J134" s="14"/>
      <c r="K134" s="14"/>
      <c r="L134" s="21"/>
      <c r="M134" s="46"/>
      <c r="N134" s="40"/>
      <c r="O134" s="21"/>
      <c r="P134" s="21"/>
      <c r="Q134" s="45"/>
      <c r="S134" s="3"/>
      <c r="T134" s="3"/>
      <c r="U134" s="3"/>
      <c r="V134" s="3"/>
    </row>
    <row r="135" spans="1:22" x14ac:dyDescent="0.35">
      <c r="A135" s="6">
        <f>+A123+1</f>
        <v>12</v>
      </c>
      <c r="B135" s="57" t="s">
        <v>167</v>
      </c>
      <c r="C135" s="85"/>
      <c r="D135" s="85"/>
      <c r="E135" s="57"/>
      <c r="F135" s="58">
        <v>555</v>
      </c>
      <c r="G135" s="6" t="s">
        <v>154</v>
      </c>
      <c r="H135" s="6"/>
      <c r="I135" s="6" t="str">
        <f>+$Q$2</f>
        <v>??</v>
      </c>
      <c r="J135" s="14" t="e">
        <f>+F135*H135*I135</f>
        <v>#VALUE!</v>
      </c>
      <c r="K135" s="14"/>
      <c r="L135" s="21"/>
      <c r="M135" s="46">
        <v>2.5000000000000001E-2</v>
      </c>
      <c r="N135" s="40">
        <f>+L135*M135</f>
        <v>0</v>
      </c>
      <c r="O135" s="21"/>
      <c r="P135" s="21"/>
      <c r="Q135" s="45">
        <f>+(F135*L135)+(F135*N135)+O135+P135</f>
        <v>0</v>
      </c>
      <c r="S135" s="53" t="e">
        <f>+T135/F135</f>
        <v>#VALUE!</v>
      </c>
      <c r="T135" s="49" t="e">
        <f>+J135+K135+Q135</f>
        <v>#VALUE!</v>
      </c>
      <c r="U135" s="49"/>
      <c r="V135" s="53">
        <f>+F135*H135</f>
        <v>0</v>
      </c>
    </row>
    <row r="136" spans="1:22" s="2" customFormat="1" hidden="1" outlineLevel="1" x14ac:dyDescent="0.35">
      <c r="A136" s="8"/>
      <c r="B136" s="9" t="s">
        <v>144</v>
      </c>
      <c r="C136" s="22">
        <v>2</v>
      </c>
      <c r="D136" s="22">
        <v>8</v>
      </c>
      <c r="E136" s="9">
        <v>4</v>
      </c>
      <c r="F136" s="10">
        <f>+C136*D136*E136</f>
        <v>64</v>
      </c>
      <c r="G136" s="10"/>
      <c r="H136" s="10"/>
      <c r="I136" s="10"/>
      <c r="J136" s="14"/>
      <c r="K136" s="14"/>
      <c r="L136" s="22"/>
      <c r="M136" s="47"/>
      <c r="N136" s="41"/>
      <c r="O136" s="22"/>
      <c r="P136" s="22"/>
      <c r="Q136" s="45"/>
      <c r="S136" s="50"/>
      <c r="T136" s="50"/>
      <c r="U136" s="50"/>
      <c r="V136" s="50"/>
    </row>
    <row r="137" spans="1:22" s="2" customFormat="1" hidden="1" outlineLevel="1" x14ac:dyDescent="0.35">
      <c r="A137" s="8"/>
      <c r="B137" s="9" t="s">
        <v>146</v>
      </c>
      <c r="C137" s="22">
        <v>2</v>
      </c>
      <c r="D137" s="22">
        <v>8</v>
      </c>
      <c r="E137" s="9">
        <v>6</v>
      </c>
      <c r="F137" s="10">
        <f t="shared" ref="F137:F140" si="11">+C137*D137*E137</f>
        <v>96</v>
      </c>
      <c r="G137" s="10"/>
      <c r="H137" s="10"/>
      <c r="I137" s="10"/>
      <c r="J137" s="14"/>
      <c r="K137" s="14"/>
      <c r="L137" s="22"/>
      <c r="M137" s="47"/>
      <c r="N137" s="41"/>
      <c r="O137" s="22"/>
      <c r="P137" s="22"/>
      <c r="Q137" s="45"/>
      <c r="S137" s="50"/>
      <c r="T137" s="50"/>
      <c r="U137" s="50"/>
      <c r="V137" s="50"/>
    </row>
    <row r="138" spans="1:22" s="2" customFormat="1" hidden="1" outlineLevel="1" x14ac:dyDescent="0.35">
      <c r="A138" s="8"/>
      <c r="B138" s="9"/>
      <c r="C138" s="22"/>
      <c r="D138" s="22"/>
      <c r="E138" s="9"/>
      <c r="F138" s="10">
        <f t="shared" si="11"/>
        <v>0</v>
      </c>
      <c r="G138" s="10"/>
      <c r="H138" s="10"/>
      <c r="I138" s="10"/>
      <c r="J138" s="14"/>
      <c r="K138" s="14"/>
      <c r="L138" s="22"/>
      <c r="M138" s="47"/>
      <c r="N138" s="41"/>
      <c r="O138" s="22"/>
      <c r="P138" s="22"/>
      <c r="Q138" s="45"/>
      <c r="S138" s="50"/>
      <c r="T138" s="50"/>
      <c r="U138" s="50"/>
      <c r="V138" s="50"/>
    </row>
    <row r="139" spans="1:22" s="2" customFormat="1" hidden="1" outlineLevel="1" x14ac:dyDescent="0.35">
      <c r="A139" s="8"/>
      <c r="B139" s="9"/>
      <c r="C139" s="22"/>
      <c r="D139" s="22"/>
      <c r="E139" s="9"/>
      <c r="F139" s="10">
        <f t="shared" si="11"/>
        <v>0</v>
      </c>
      <c r="G139" s="10"/>
      <c r="H139" s="10"/>
      <c r="I139" s="10"/>
      <c r="J139" s="14"/>
      <c r="K139" s="14"/>
      <c r="L139" s="22"/>
      <c r="M139" s="47"/>
      <c r="N139" s="41"/>
      <c r="O139" s="22"/>
      <c r="P139" s="22"/>
      <c r="Q139" s="45"/>
      <c r="S139" s="50"/>
      <c r="T139" s="50"/>
      <c r="U139" s="50"/>
      <c r="V139" s="50"/>
    </row>
    <row r="140" spans="1:22" s="2" customFormat="1" hidden="1" outlineLevel="1" x14ac:dyDescent="0.35">
      <c r="A140" s="8"/>
      <c r="B140" s="9"/>
      <c r="C140" s="22"/>
      <c r="D140" s="22"/>
      <c r="E140" s="9">
        <v>1</v>
      </c>
      <c r="F140" s="10">
        <f t="shared" si="11"/>
        <v>0</v>
      </c>
      <c r="G140" s="10"/>
      <c r="H140" s="10"/>
      <c r="I140" s="10"/>
      <c r="J140" s="14"/>
      <c r="K140" s="14"/>
      <c r="L140" s="22"/>
      <c r="M140" s="47"/>
      <c r="N140" s="41"/>
      <c r="O140" s="22"/>
      <c r="P140" s="22"/>
      <c r="Q140" s="45"/>
      <c r="S140" s="50"/>
      <c r="T140" s="50"/>
      <c r="U140" s="50"/>
      <c r="V140" s="50"/>
    </row>
    <row r="141" spans="1:22" s="2" customFormat="1" hidden="1" outlineLevel="1" x14ac:dyDescent="0.35">
      <c r="A141" s="8"/>
      <c r="B141" s="9"/>
      <c r="C141" s="22"/>
      <c r="D141" s="22"/>
      <c r="E141" s="9"/>
      <c r="F141" s="10"/>
      <c r="G141" s="10"/>
      <c r="H141" s="10"/>
      <c r="I141" s="10"/>
      <c r="J141" s="14"/>
      <c r="K141" s="14"/>
      <c r="L141" s="22"/>
      <c r="M141" s="47"/>
      <c r="N141" s="41"/>
      <c r="O141" s="22"/>
      <c r="P141" s="22"/>
      <c r="Q141" s="45"/>
      <c r="S141" s="50"/>
      <c r="T141" s="50"/>
      <c r="U141" s="50"/>
      <c r="V141" s="50"/>
    </row>
    <row r="142" spans="1:22" s="2" customFormat="1" hidden="1" outlineLevel="1" x14ac:dyDescent="0.35">
      <c r="A142" s="8"/>
      <c r="B142" s="9"/>
      <c r="C142" s="22"/>
      <c r="D142" s="22"/>
      <c r="E142" s="9"/>
      <c r="F142" s="10">
        <f>SUM(F136:F141)</f>
        <v>160</v>
      </c>
      <c r="G142" s="10"/>
      <c r="H142" s="10"/>
      <c r="I142" s="10"/>
      <c r="J142" s="14"/>
      <c r="K142" s="14"/>
      <c r="L142" s="22"/>
      <c r="M142" s="47"/>
      <c r="N142" s="41"/>
      <c r="O142" s="22"/>
      <c r="P142" s="22"/>
      <c r="Q142" s="45"/>
      <c r="S142" s="50"/>
      <c r="T142" s="50"/>
      <c r="U142" s="50"/>
      <c r="V142" s="50"/>
    </row>
    <row r="143" spans="1:22" s="2" customFormat="1" hidden="1" outlineLevel="1" x14ac:dyDescent="0.35">
      <c r="A143" s="8"/>
      <c r="B143" s="9"/>
      <c r="C143" s="22"/>
      <c r="D143" s="22" t="s">
        <v>154</v>
      </c>
      <c r="E143" s="9"/>
      <c r="F143" s="10">
        <v>3.75</v>
      </c>
      <c r="G143" s="10"/>
      <c r="H143" s="10"/>
      <c r="I143" s="10"/>
      <c r="J143" s="14"/>
      <c r="K143" s="14"/>
      <c r="L143" s="22"/>
      <c r="M143" s="47"/>
      <c r="N143" s="41"/>
      <c r="O143" s="22"/>
      <c r="P143" s="22"/>
      <c r="Q143" s="45"/>
      <c r="S143" s="50"/>
      <c r="T143" s="50"/>
      <c r="U143" s="50"/>
      <c r="V143" s="50"/>
    </row>
    <row r="144" spans="1:22" s="2" customFormat="1" hidden="1" outlineLevel="1" x14ac:dyDescent="0.35">
      <c r="A144" s="8"/>
      <c r="B144" s="9"/>
      <c r="C144" s="22"/>
      <c r="D144" s="22"/>
      <c r="E144" s="9"/>
      <c r="F144" s="10"/>
      <c r="G144" s="10"/>
      <c r="H144" s="10"/>
      <c r="I144" s="10"/>
      <c r="J144" s="14"/>
      <c r="K144" s="14"/>
      <c r="L144" s="22"/>
      <c r="M144" s="47"/>
      <c r="N144" s="41"/>
      <c r="O144" s="22"/>
      <c r="P144" s="22"/>
      <c r="Q144" s="45"/>
      <c r="S144" s="50"/>
      <c r="T144" s="50"/>
      <c r="U144" s="50"/>
      <c r="V144" s="50"/>
    </row>
    <row r="145" spans="1:22" s="2" customFormat="1" hidden="1" outlineLevel="1" x14ac:dyDescent="0.35">
      <c r="A145" s="8"/>
      <c r="B145" s="9"/>
      <c r="C145" s="22"/>
      <c r="D145" s="22"/>
      <c r="E145" s="9"/>
      <c r="F145" s="10">
        <f>+F142*F143</f>
        <v>600</v>
      </c>
      <c r="G145" s="10"/>
      <c r="H145" s="10"/>
      <c r="I145" s="10"/>
      <c r="J145" s="14"/>
      <c r="K145" s="14"/>
      <c r="L145" s="22"/>
      <c r="M145" s="47"/>
      <c r="N145" s="41"/>
      <c r="O145" s="22"/>
      <c r="P145" s="22"/>
      <c r="Q145" s="45"/>
      <c r="S145" s="50"/>
      <c r="T145" s="50"/>
      <c r="U145" s="50"/>
      <c r="V145" s="50"/>
    </row>
    <row r="146" spans="1:22" collapsed="1" x14ac:dyDescent="0.35">
      <c r="A146" s="6"/>
      <c r="B146" s="56"/>
      <c r="C146" s="86"/>
      <c r="D146" s="86"/>
      <c r="E146" s="56"/>
      <c r="F146" s="6"/>
      <c r="G146" s="6"/>
      <c r="H146" s="6"/>
      <c r="I146" s="6"/>
      <c r="J146" s="14"/>
      <c r="K146" s="14"/>
      <c r="L146" s="21"/>
      <c r="M146" s="46"/>
      <c r="N146" s="40"/>
      <c r="O146" s="21"/>
      <c r="P146" s="21"/>
      <c r="Q146" s="45"/>
      <c r="S146" s="3"/>
      <c r="T146" s="3"/>
      <c r="U146" s="3"/>
      <c r="V146" s="3"/>
    </row>
    <row r="147" spans="1:22" x14ac:dyDescent="0.35">
      <c r="A147" s="6">
        <f>+A135+1</f>
        <v>13</v>
      </c>
      <c r="B147" s="57" t="s">
        <v>168</v>
      </c>
      <c r="C147" s="85"/>
      <c r="D147" s="85"/>
      <c r="E147" s="57"/>
      <c r="F147" s="58">
        <v>233</v>
      </c>
      <c r="G147" s="6" t="s">
        <v>154</v>
      </c>
      <c r="H147" s="6"/>
      <c r="I147" s="6" t="str">
        <f>+$Q$2</f>
        <v>??</v>
      </c>
      <c r="J147" s="14" t="e">
        <f>+F147*H147*I147</f>
        <v>#VALUE!</v>
      </c>
      <c r="K147" s="14"/>
      <c r="L147" s="21"/>
      <c r="M147" s="46">
        <v>2.5000000000000001E-2</v>
      </c>
      <c r="N147" s="40">
        <f>+L147*M147</f>
        <v>0</v>
      </c>
      <c r="O147" s="21"/>
      <c r="P147" s="21"/>
      <c r="Q147" s="45">
        <f>+(F147*L147)+(F147*N147)+O147+P147</f>
        <v>0</v>
      </c>
      <c r="S147" s="53" t="e">
        <f>+T147/F147</f>
        <v>#VALUE!</v>
      </c>
      <c r="T147" s="49" t="e">
        <f>+J147+K147+Q147</f>
        <v>#VALUE!</v>
      </c>
      <c r="U147" s="49"/>
      <c r="V147" s="53">
        <f>+F147*H147</f>
        <v>0</v>
      </c>
    </row>
    <row r="148" spans="1:22" s="2" customFormat="1" hidden="1" outlineLevel="1" x14ac:dyDescent="0.35">
      <c r="A148" s="8"/>
      <c r="B148" s="9" t="s">
        <v>144</v>
      </c>
      <c r="C148" s="22">
        <v>2</v>
      </c>
      <c r="D148" s="22">
        <v>5</v>
      </c>
      <c r="E148" s="9">
        <v>4</v>
      </c>
      <c r="F148" s="10">
        <f>+C148*D148*E148</f>
        <v>40</v>
      </c>
      <c r="G148" s="10"/>
      <c r="H148" s="10"/>
      <c r="I148" s="10"/>
      <c r="J148" s="14"/>
      <c r="K148" s="14"/>
      <c r="L148" s="22"/>
      <c r="M148" s="47"/>
      <c r="N148" s="41"/>
      <c r="O148" s="22"/>
      <c r="P148" s="22"/>
      <c r="Q148" s="45"/>
      <c r="S148" s="50"/>
      <c r="T148" s="50"/>
      <c r="U148" s="50"/>
      <c r="V148" s="50"/>
    </row>
    <row r="149" spans="1:22" s="2" customFormat="1" hidden="1" outlineLevel="1" x14ac:dyDescent="0.35">
      <c r="A149" s="8"/>
      <c r="B149" s="9" t="s">
        <v>146</v>
      </c>
      <c r="C149" s="22">
        <v>2</v>
      </c>
      <c r="D149" s="22">
        <v>6</v>
      </c>
      <c r="E149" s="9">
        <v>6</v>
      </c>
      <c r="F149" s="10">
        <f t="shared" ref="F149:F152" si="12">+C149*D149*E149</f>
        <v>72</v>
      </c>
      <c r="G149" s="10"/>
      <c r="H149" s="10"/>
      <c r="I149" s="10"/>
      <c r="J149" s="14"/>
      <c r="K149" s="14"/>
      <c r="L149" s="22"/>
      <c r="M149" s="47"/>
      <c r="N149" s="41"/>
      <c r="O149" s="22"/>
      <c r="P149" s="22"/>
      <c r="Q149" s="45"/>
      <c r="S149" s="50"/>
      <c r="T149" s="50"/>
      <c r="U149" s="50"/>
      <c r="V149" s="50"/>
    </row>
    <row r="150" spans="1:22" s="2" customFormat="1" hidden="1" outlineLevel="1" x14ac:dyDescent="0.35">
      <c r="A150" s="8"/>
      <c r="B150" s="9"/>
      <c r="C150" s="22"/>
      <c r="D150" s="22"/>
      <c r="E150" s="9"/>
      <c r="F150" s="10">
        <f t="shared" si="12"/>
        <v>0</v>
      </c>
      <c r="G150" s="10"/>
      <c r="H150" s="10"/>
      <c r="I150" s="10"/>
      <c r="J150" s="14"/>
      <c r="K150" s="14"/>
      <c r="L150" s="22"/>
      <c r="M150" s="47"/>
      <c r="N150" s="41"/>
      <c r="O150" s="22"/>
      <c r="P150" s="22"/>
      <c r="Q150" s="45"/>
      <c r="S150" s="50"/>
      <c r="T150" s="50"/>
      <c r="U150" s="50"/>
      <c r="V150" s="50"/>
    </row>
    <row r="151" spans="1:22" s="2" customFormat="1" hidden="1" outlineLevel="1" x14ac:dyDescent="0.35">
      <c r="A151" s="8"/>
      <c r="B151" s="9"/>
      <c r="C151" s="22"/>
      <c r="D151" s="22"/>
      <c r="E151" s="9"/>
      <c r="F151" s="10">
        <f t="shared" si="12"/>
        <v>0</v>
      </c>
      <c r="G151" s="10"/>
      <c r="H151" s="10"/>
      <c r="I151" s="10"/>
      <c r="J151" s="14"/>
      <c r="K151" s="14"/>
      <c r="L151" s="22"/>
      <c r="M151" s="47"/>
      <c r="N151" s="41"/>
      <c r="O151" s="22"/>
      <c r="P151" s="22"/>
      <c r="Q151" s="45"/>
      <c r="S151" s="50"/>
      <c r="T151" s="50"/>
      <c r="U151" s="50"/>
      <c r="V151" s="50"/>
    </row>
    <row r="152" spans="1:22" s="2" customFormat="1" hidden="1" outlineLevel="1" x14ac:dyDescent="0.35">
      <c r="A152" s="8"/>
      <c r="B152" s="9"/>
      <c r="C152" s="22"/>
      <c r="D152" s="22"/>
      <c r="E152" s="9">
        <v>1</v>
      </c>
      <c r="F152" s="10">
        <f t="shared" si="12"/>
        <v>0</v>
      </c>
      <c r="G152" s="10"/>
      <c r="H152" s="10"/>
      <c r="I152" s="10"/>
      <c r="J152" s="14"/>
      <c r="K152" s="14"/>
      <c r="L152" s="22"/>
      <c r="M152" s="47"/>
      <c r="N152" s="41"/>
      <c r="O152" s="22"/>
      <c r="P152" s="22"/>
      <c r="Q152" s="45"/>
      <c r="S152" s="50"/>
      <c r="T152" s="50"/>
      <c r="U152" s="50"/>
      <c r="V152" s="50"/>
    </row>
    <row r="153" spans="1:22" s="2" customFormat="1" hidden="1" outlineLevel="1" x14ac:dyDescent="0.35">
      <c r="A153" s="8"/>
      <c r="B153" s="9"/>
      <c r="C153" s="22"/>
      <c r="D153" s="22"/>
      <c r="E153" s="9"/>
      <c r="F153" s="10"/>
      <c r="G153" s="10"/>
      <c r="H153" s="10"/>
      <c r="I153" s="10"/>
      <c r="J153" s="14"/>
      <c r="K153" s="14"/>
      <c r="L153" s="22"/>
      <c r="M153" s="47"/>
      <c r="N153" s="41"/>
      <c r="O153" s="22"/>
      <c r="P153" s="22"/>
      <c r="Q153" s="45"/>
      <c r="S153" s="50"/>
      <c r="T153" s="50"/>
      <c r="U153" s="50"/>
      <c r="V153" s="50"/>
    </row>
    <row r="154" spans="1:22" s="2" customFormat="1" hidden="1" outlineLevel="1" x14ac:dyDescent="0.35">
      <c r="A154" s="8"/>
      <c r="B154" s="9"/>
      <c r="C154" s="22"/>
      <c r="D154" s="22"/>
      <c r="E154" s="9"/>
      <c r="F154" s="10">
        <f>SUM(F148:F153)</f>
        <v>112</v>
      </c>
      <c r="G154" s="10"/>
      <c r="H154" s="10"/>
      <c r="I154" s="10"/>
      <c r="J154" s="14"/>
      <c r="K154" s="14"/>
      <c r="L154" s="22"/>
      <c r="M154" s="47"/>
      <c r="N154" s="41"/>
      <c r="O154" s="22"/>
      <c r="P154" s="22"/>
      <c r="Q154" s="45"/>
      <c r="S154" s="50"/>
      <c r="T154" s="50"/>
      <c r="U154" s="50"/>
      <c r="V154" s="50"/>
    </row>
    <row r="155" spans="1:22" s="2" customFormat="1" hidden="1" outlineLevel="1" x14ac:dyDescent="0.35">
      <c r="A155" s="8"/>
      <c r="B155" s="9"/>
      <c r="C155" s="22"/>
      <c r="D155" s="22" t="s">
        <v>154</v>
      </c>
      <c r="E155" s="9"/>
      <c r="F155" s="10">
        <v>1.5780000000000001</v>
      </c>
      <c r="G155" s="10"/>
      <c r="H155" s="10"/>
      <c r="I155" s="10"/>
      <c r="J155" s="14"/>
      <c r="K155" s="14"/>
      <c r="L155" s="22"/>
      <c r="M155" s="47"/>
      <c r="N155" s="41"/>
      <c r="O155" s="22"/>
      <c r="P155" s="22"/>
      <c r="Q155" s="45"/>
      <c r="S155" s="50"/>
      <c r="T155" s="50"/>
      <c r="U155" s="50"/>
      <c r="V155" s="50"/>
    </row>
    <row r="156" spans="1:22" s="2" customFormat="1" hidden="1" outlineLevel="1" x14ac:dyDescent="0.35">
      <c r="A156" s="8"/>
      <c r="B156" s="9"/>
      <c r="C156" s="22"/>
      <c r="D156" s="22"/>
      <c r="E156" s="9"/>
      <c r="F156" s="10"/>
      <c r="G156" s="10"/>
      <c r="H156" s="10"/>
      <c r="I156" s="10"/>
      <c r="J156" s="14"/>
      <c r="K156" s="14"/>
      <c r="L156" s="22"/>
      <c r="M156" s="47"/>
      <c r="N156" s="41"/>
      <c r="O156" s="22"/>
      <c r="P156" s="22"/>
      <c r="Q156" s="45"/>
      <c r="S156" s="50"/>
      <c r="T156" s="50"/>
      <c r="U156" s="50"/>
      <c r="V156" s="50"/>
    </row>
    <row r="157" spans="1:22" s="2" customFormat="1" hidden="1" outlineLevel="1" x14ac:dyDescent="0.35">
      <c r="A157" s="8"/>
      <c r="B157" s="9"/>
      <c r="C157" s="22"/>
      <c r="D157" s="22"/>
      <c r="E157" s="9"/>
      <c r="F157" s="10">
        <f>+F154*F155</f>
        <v>176.73600000000002</v>
      </c>
      <c r="G157" s="10"/>
      <c r="H157" s="10"/>
      <c r="I157" s="10"/>
      <c r="J157" s="14"/>
      <c r="K157" s="14"/>
      <c r="L157" s="22"/>
      <c r="M157" s="47"/>
      <c r="N157" s="41"/>
      <c r="O157" s="22"/>
      <c r="P157" s="22"/>
      <c r="Q157" s="45"/>
      <c r="S157" s="50"/>
      <c r="T157" s="50"/>
      <c r="U157" s="50"/>
      <c r="V157" s="50"/>
    </row>
    <row r="158" spans="1:22" collapsed="1" x14ac:dyDescent="0.35">
      <c r="A158" s="6"/>
      <c r="B158" s="56"/>
      <c r="C158" s="86"/>
      <c r="D158" s="86"/>
      <c r="E158" s="56"/>
      <c r="F158" s="6"/>
      <c r="G158" s="6"/>
      <c r="H158" s="6"/>
      <c r="I158" s="6"/>
      <c r="J158" s="14"/>
      <c r="K158" s="14"/>
      <c r="L158" s="21"/>
      <c r="M158" s="46"/>
      <c r="N158" s="40"/>
      <c r="O158" s="21"/>
      <c r="P158" s="21"/>
      <c r="Q158" s="45"/>
      <c r="S158" s="3"/>
      <c r="T158" s="3"/>
      <c r="U158" s="3"/>
      <c r="V158" s="3"/>
    </row>
    <row r="159" spans="1:22" x14ac:dyDescent="0.35">
      <c r="A159" s="6">
        <f>+A147+1</f>
        <v>14</v>
      </c>
      <c r="B159" s="57" t="s">
        <v>169</v>
      </c>
      <c r="C159" s="85"/>
      <c r="D159" s="85"/>
      <c r="E159" s="57"/>
      <c r="F159" s="58">
        <v>665</v>
      </c>
      <c r="G159" s="6" t="s">
        <v>154</v>
      </c>
      <c r="H159" s="6"/>
      <c r="I159" s="6" t="str">
        <f>+$Q$2</f>
        <v>??</v>
      </c>
      <c r="J159" s="14" t="e">
        <f>+F159*H159*I159</f>
        <v>#VALUE!</v>
      </c>
      <c r="K159" s="14"/>
      <c r="L159" s="21"/>
      <c r="M159" s="46">
        <v>2.5000000000000001E-2</v>
      </c>
      <c r="N159" s="40">
        <f>+L159*M159</f>
        <v>0</v>
      </c>
      <c r="O159" s="21"/>
      <c r="P159" s="21"/>
      <c r="Q159" s="45">
        <f>+(F159*L159)+(F159*N159)+O159+P159</f>
        <v>0</v>
      </c>
      <c r="S159" s="53" t="e">
        <f>+T159/F159</f>
        <v>#VALUE!</v>
      </c>
      <c r="T159" s="49" t="e">
        <f>+J159+K159+Q159</f>
        <v>#VALUE!</v>
      </c>
      <c r="U159" s="49"/>
      <c r="V159" s="53">
        <f>+F159*H159</f>
        <v>0</v>
      </c>
    </row>
    <row r="160" spans="1:22" s="2" customFormat="1" hidden="1" outlineLevel="1" x14ac:dyDescent="0.35">
      <c r="A160" s="8"/>
      <c r="B160" s="9"/>
      <c r="C160" s="22">
        <v>2.1</v>
      </c>
      <c r="D160" s="22">
        <f>2/0.2+1</f>
        <v>11</v>
      </c>
      <c r="E160" s="9">
        <v>10</v>
      </c>
      <c r="F160" s="10">
        <f>+C160*D160*E160</f>
        <v>231</v>
      </c>
      <c r="G160" s="10"/>
      <c r="H160" s="10"/>
      <c r="I160" s="10"/>
      <c r="J160" s="14"/>
      <c r="K160" s="14"/>
      <c r="L160" s="22"/>
      <c r="M160" s="47"/>
      <c r="N160" s="41"/>
      <c r="O160" s="22"/>
      <c r="P160" s="22"/>
      <c r="Q160" s="45"/>
      <c r="S160" s="50"/>
      <c r="T160" s="50"/>
      <c r="U160" s="50"/>
      <c r="V160" s="50"/>
    </row>
    <row r="161" spans="1:22" s="2" customFormat="1" hidden="1" outlineLevel="1" x14ac:dyDescent="0.35">
      <c r="A161" s="8"/>
      <c r="B161" s="9"/>
      <c r="C161" s="22">
        <v>1.7</v>
      </c>
      <c r="D161" s="22">
        <f>2/0.2+1</f>
        <v>11</v>
      </c>
      <c r="E161" s="9">
        <v>10</v>
      </c>
      <c r="F161" s="10">
        <f t="shared" ref="F161:F164" si="13">+C161*D161*E161</f>
        <v>187</v>
      </c>
      <c r="G161" s="10"/>
      <c r="H161" s="10"/>
      <c r="I161" s="10"/>
      <c r="J161" s="14"/>
      <c r="K161" s="14"/>
      <c r="L161" s="22"/>
      <c r="M161" s="47"/>
      <c r="N161" s="41"/>
      <c r="O161" s="22"/>
      <c r="P161" s="22"/>
      <c r="Q161" s="45"/>
      <c r="S161" s="50"/>
      <c r="T161" s="50"/>
      <c r="U161" s="50"/>
      <c r="V161" s="50"/>
    </row>
    <row r="162" spans="1:22" s="2" customFormat="1" hidden="1" outlineLevel="1" x14ac:dyDescent="0.35">
      <c r="A162" s="8"/>
      <c r="B162" s="9"/>
      <c r="C162" s="22">
        <v>1.5</v>
      </c>
      <c r="D162" s="22">
        <f>2/0.2+1</f>
        <v>11</v>
      </c>
      <c r="E162" s="9">
        <v>10</v>
      </c>
      <c r="F162" s="10">
        <f t="shared" si="13"/>
        <v>165</v>
      </c>
      <c r="G162" s="10"/>
      <c r="H162" s="10"/>
      <c r="I162" s="10"/>
      <c r="J162" s="14"/>
      <c r="K162" s="14"/>
      <c r="L162" s="22"/>
      <c r="M162" s="47"/>
      <c r="N162" s="41"/>
      <c r="O162" s="22"/>
      <c r="P162" s="22"/>
      <c r="Q162" s="45"/>
      <c r="S162" s="50"/>
      <c r="T162" s="50"/>
      <c r="U162" s="50"/>
      <c r="V162" s="50"/>
    </row>
    <row r="163" spans="1:22" s="2" customFormat="1" hidden="1" outlineLevel="1" x14ac:dyDescent="0.35">
      <c r="A163" s="8"/>
      <c r="B163" s="9"/>
      <c r="C163" s="22">
        <v>1.4</v>
      </c>
      <c r="D163" s="22">
        <f>2/0.2+1</f>
        <v>11</v>
      </c>
      <c r="E163" s="9">
        <v>6</v>
      </c>
      <c r="F163" s="10">
        <f t="shared" si="13"/>
        <v>92.399999999999991</v>
      </c>
      <c r="G163" s="10"/>
      <c r="H163" s="10"/>
      <c r="I163" s="10"/>
      <c r="J163" s="14"/>
      <c r="K163" s="14"/>
      <c r="L163" s="22"/>
      <c r="M163" s="47"/>
      <c r="N163" s="41"/>
      <c r="O163" s="22"/>
      <c r="P163" s="22"/>
      <c r="Q163" s="45"/>
      <c r="S163" s="50"/>
      <c r="T163" s="50"/>
      <c r="U163" s="50"/>
      <c r="V163" s="50"/>
    </row>
    <row r="164" spans="1:22" s="2" customFormat="1" hidden="1" outlineLevel="1" x14ac:dyDescent="0.35">
      <c r="A164" s="8"/>
      <c r="B164" s="9"/>
      <c r="C164" s="22">
        <v>0.5</v>
      </c>
      <c r="D164" s="22">
        <f>2/0.2+1</f>
        <v>11</v>
      </c>
      <c r="E164" s="9">
        <v>10</v>
      </c>
      <c r="F164" s="10">
        <f t="shared" si="13"/>
        <v>55</v>
      </c>
      <c r="G164" s="10"/>
      <c r="H164" s="10"/>
      <c r="I164" s="10"/>
      <c r="J164" s="14"/>
      <c r="K164" s="14"/>
      <c r="L164" s="22"/>
      <c r="M164" s="47"/>
      <c r="N164" s="41"/>
      <c r="O164" s="22"/>
      <c r="P164" s="22"/>
      <c r="Q164" s="45"/>
      <c r="S164" s="50"/>
      <c r="T164" s="50"/>
      <c r="U164" s="50"/>
      <c r="V164" s="50"/>
    </row>
    <row r="165" spans="1:22" s="2" customFormat="1" hidden="1" outlineLevel="1" x14ac:dyDescent="0.35">
      <c r="A165" s="8"/>
      <c r="B165" s="9"/>
      <c r="C165" s="22"/>
      <c r="D165" s="22"/>
      <c r="E165" s="9"/>
      <c r="F165" s="10"/>
      <c r="G165" s="10"/>
      <c r="H165" s="10"/>
      <c r="I165" s="10"/>
      <c r="J165" s="14"/>
      <c r="K165" s="14"/>
      <c r="L165" s="22"/>
      <c r="M165" s="47"/>
      <c r="N165" s="41"/>
      <c r="O165" s="22"/>
      <c r="P165" s="22"/>
      <c r="Q165" s="45"/>
      <c r="S165" s="50"/>
      <c r="T165" s="50"/>
      <c r="U165" s="50"/>
      <c r="V165" s="50"/>
    </row>
    <row r="166" spans="1:22" s="2" customFormat="1" hidden="1" outlineLevel="1" x14ac:dyDescent="0.35">
      <c r="A166" s="8"/>
      <c r="B166" s="9"/>
      <c r="C166" s="22"/>
      <c r="D166" s="22"/>
      <c r="E166" s="9"/>
      <c r="F166" s="10">
        <f>SUM(F160:F165)</f>
        <v>730.4</v>
      </c>
      <c r="G166" s="10"/>
      <c r="H166" s="10"/>
      <c r="I166" s="10"/>
      <c r="J166" s="14"/>
      <c r="K166" s="14"/>
      <c r="L166" s="22"/>
      <c r="M166" s="47"/>
      <c r="N166" s="41"/>
      <c r="O166" s="22"/>
      <c r="P166" s="22"/>
      <c r="Q166" s="45"/>
      <c r="S166" s="50"/>
      <c r="T166" s="50"/>
      <c r="U166" s="50"/>
      <c r="V166" s="50"/>
    </row>
    <row r="167" spans="1:22" s="2" customFormat="1" hidden="1" outlineLevel="1" x14ac:dyDescent="0.35">
      <c r="A167" s="8"/>
      <c r="B167" s="9"/>
      <c r="C167" s="22"/>
      <c r="D167" s="22" t="s">
        <v>154</v>
      </c>
      <c r="E167" s="9"/>
      <c r="F167" s="10">
        <v>0.88800000000000001</v>
      </c>
      <c r="G167" s="10"/>
      <c r="H167" s="10"/>
      <c r="I167" s="10"/>
      <c r="J167" s="14"/>
      <c r="K167" s="14"/>
      <c r="L167" s="22"/>
      <c r="M167" s="47"/>
      <c r="N167" s="41"/>
      <c r="O167" s="22"/>
      <c r="P167" s="22"/>
      <c r="Q167" s="45"/>
      <c r="S167" s="50"/>
      <c r="T167" s="50"/>
      <c r="U167" s="50"/>
      <c r="V167" s="50"/>
    </row>
    <row r="168" spans="1:22" s="2" customFormat="1" hidden="1" outlineLevel="1" x14ac:dyDescent="0.35">
      <c r="A168" s="8"/>
      <c r="B168" s="9"/>
      <c r="C168" s="22"/>
      <c r="D168" s="22"/>
      <c r="E168" s="9"/>
      <c r="F168" s="10"/>
      <c r="G168" s="10"/>
      <c r="H168" s="10"/>
      <c r="I168" s="10"/>
      <c r="J168" s="14"/>
      <c r="K168" s="14"/>
      <c r="L168" s="22"/>
      <c r="M168" s="47"/>
      <c r="N168" s="41"/>
      <c r="O168" s="22"/>
      <c r="P168" s="22"/>
      <c r="Q168" s="45"/>
      <c r="S168" s="50"/>
      <c r="T168" s="50"/>
      <c r="U168" s="50"/>
      <c r="V168" s="50"/>
    </row>
    <row r="169" spans="1:22" s="2" customFormat="1" hidden="1" outlineLevel="1" x14ac:dyDescent="0.35">
      <c r="A169" s="8"/>
      <c r="B169" s="9"/>
      <c r="C169" s="22"/>
      <c r="D169" s="22"/>
      <c r="E169" s="9"/>
      <c r="F169" s="10">
        <f>+F166*F167</f>
        <v>648.59519999999998</v>
      </c>
      <c r="G169" s="10"/>
      <c r="H169" s="10"/>
      <c r="I169" s="10"/>
      <c r="J169" s="14"/>
      <c r="K169" s="14"/>
      <c r="L169" s="22"/>
      <c r="M169" s="47"/>
      <c r="N169" s="41"/>
      <c r="O169" s="22"/>
      <c r="P169" s="22"/>
      <c r="Q169" s="45"/>
      <c r="S169" s="50"/>
      <c r="T169" s="50"/>
      <c r="U169" s="50"/>
      <c r="V169" s="50"/>
    </row>
    <row r="170" spans="1:22" collapsed="1" x14ac:dyDescent="0.35">
      <c r="A170" s="6"/>
      <c r="B170" s="56"/>
      <c r="C170" s="86"/>
      <c r="D170" s="86"/>
      <c r="E170" s="56"/>
      <c r="F170" s="6"/>
      <c r="G170" s="6"/>
      <c r="H170" s="6"/>
      <c r="I170" s="6"/>
      <c r="J170" s="14"/>
      <c r="K170" s="14"/>
      <c r="L170" s="21"/>
      <c r="M170" s="46"/>
      <c r="N170" s="40"/>
      <c r="O170" s="21"/>
      <c r="P170" s="21"/>
      <c r="Q170" s="45"/>
      <c r="S170" s="3"/>
      <c r="T170" s="3"/>
      <c r="U170" s="3"/>
      <c r="V170" s="3"/>
    </row>
    <row r="171" spans="1:22" x14ac:dyDescent="0.35">
      <c r="A171" s="6">
        <f>+A159+1</f>
        <v>15</v>
      </c>
      <c r="B171" s="57" t="s">
        <v>176</v>
      </c>
      <c r="C171" s="85"/>
      <c r="D171" s="85"/>
      <c r="E171" s="57"/>
      <c r="F171" s="58">
        <f>+ROUNDUP(F181,0)</f>
        <v>1988</v>
      </c>
      <c r="G171" s="6" t="s">
        <v>154</v>
      </c>
      <c r="H171" s="6"/>
      <c r="I171" s="6" t="str">
        <f>+$Q$2</f>
        <v>??</v>
      </c>
      <c r="J171" s="14" t="e">
        <f>+F171*H171*I171</f>
        <v>#VALUE!</v>
      </c>
      <c r="K171" s="14"/>
      <c r="L171" s="21"/>
      <c r="M171" s="46">
        <v>2.5000000000000001E-2</v>
      </c>
      <c r="N171" s="40">
        <f>+L171*M171</f>
        <v>0</v>
      </c>
      <c r="O171" s="21"/>
      <c r="P171" s="21"/>
      <c r="Q171" s="45">
        <f>+(F171*L171)+(F171*N171)+O171+P171</f>
        <v>0</v>
      </c>
      <c r="S171" s="53" t="e">
        <f>+T171/F171</f>
        <v>#VALUE!</v>
      </c>
      <c r="T171" s="49" t="e">
        <f>+J171+K171+Q171</f>
        <v>#VALUE!</v>
      </c>
      <c r="U171" s="49"/>
      <c r="V171" s="53">
        <f>+F171*H171</f>
        <v>0</v>
      </c>
    </row>
    <row r="172" spans="1:22" s="2" customFormat="1" hidden="1" outlineLevel="1" x14ac:dyDescent="0.35">
      <c r="A172" s="8"/>
      <c r="B172" s="9" t="s">
        <v>144</v>
      </c>
      <c r="C172" s="22">
        <v>16</v>
      </c>
      <c r="D172" s="22">
        <v>3</v>
      </c>
      <c r="E172" s="9">
        <v>2</v>
      </c>
      <c r="F172" s="10">
        <f>+C172*D172*E172</f>
        <v>96</v>
      </c>
      <c r="G172" s="10"/>
      <c r="H172" s="10"/>
      <c r="I172" s="10"/>
      <c r="J172" s="14"/>
      <c r="K172" s="14"/>
      <c r="L172" s="22"/>
      <c r="M172" s="47"/>
      <c r="N172" s="41"/>
      <c r="O172" s="22"/>
      <c r="P172" s="22"/>
      <c r="Q172" s="45"/>
      <c r="S172" s="50"/>
      <c r="T172" s="50"/>
      <c r="U172" s="50"/>
      <c r="V172" s="50"/>
    </row>
    <row r="173" spans="1:22" s="2" customFormat="1" hidden="1" outlineLevel="1" x14ac:dyDescent="0.35">
      <c r="A173" s="8"/>
      <c r="B173" s="9" t="s">
        <v>177</v>
      </c>
      <c r="C173" s="22">
        <v>21.5</v>
      </c>
      <c r="D173" s="22">
        <v>3</v>
      </c>
      <c r="E173" s="9">
        <v>4</v>
      </c>
      <c r="F173" s="10">
        <f t="shared" ref="F173:F176" si="14">+C173*D173*E173</f>
        <v>258</v>
      </c>
      <c r="G173" s="10"/>
      <c r="H173" s="10"/>
      <c r="I173" s="10"/>
      <c r="J173" s="14"/>
      <c r="K173" s="14"/>
      <c r="L173" s="22"/>
      <c r="M173" s="47"/>
      <c r="N173" s="41"/>
      <c r="O173" s="22"/>
      <c r="P173" s="22"/>
      <c r="Q173" s="45"/>
      <c r="S173" s="50"/>
      <c r="T173" s="50"/>
      <c r="U173" s="50"/>
      <c r="V173" s="50"/>
    </row>
    <row r="174" spans="1:22" s="2" customFormat="1" hidden="1" outlineLevel="1" x14ac:dyDescent="0.35">
      <c r="A174" s="8"/>
      <c r="B174" s="9" t="s">
        <v>178</v>
      </c>
      <c r="C174" s="22">
        <v>16</v>
      </c>
      <c r="D174" s="22">
        <v>4</v>
      </c>
      <c r="E174" s="9">
        <v>2</v>
      </c>
      <c r="F174" s="10">
        <f t="shared" si="14"/>
        <v>128</v>
      </c>
      <c r="G174" s="10"/>
      <c r="H174" s="10"/>
      <c r="I174" s="10"/>
      <c r="J174" s="14"/>
      <c r="K174" s="14"/>
      <c r="L174" s="22"/>
      <c r="M174" s="47"/>
      <c r="N174" s="41"/>
      <c r="O174" s="22"/>
      <c r="P174" s="22"/>
      <c r="Q174" s="45"/>
      <c r="S174" s="50"/>
      <c r="T174" s="50"/>
      <c r="U174" s="50"/>
      <c r="V174" s="50"/>
    </row>
    <row r="175" spans="1:22" s="2" customFormat="1" hidden="1" outlineLevel="1" x14ac:dyDescent="0.35">
      <c r="A175" s="8"/>
      <c r="B175" s="9" t="s">
        <v>160</v>
      </c>
      <c r="C175" s="22">
        <f>2*6</f>
        <v>12</v>
      </c>
      <c r="D175" s="22">
        <v>1</v>
      </c>
      <c r="E175" s="9">
        <v>1</v>
      </c>
      <c r="F175" s="10">
        <f t="shared" si="14"/>
        <v>12</v>
      </c>
      <c r="G175" s="10"/>
      <c r="H175" s="10"/>
      <c r="I175" s="10"/>
      <c r="J175" s="14"/>
      <c r="K175" s="14"/>
      <c r="L175" s="22"/>
      <c r="M175" s="47"/>
      <c r="N175" s="41"/>
      <c r="O175" s="22"/>
      <c r="P175" s="22"/>
      <c r="Q175" s="45"/>
      <c r="S175" s="50"/>
      <c r="T175" s="50"/>
      <c r="U175" s="50"/>
      <c r="V175" s="50"/>
    </row>
    <row r="176" spans="1:22" s="2" customFormat="1" hidden="1" outlineLevel="1" x14ac:dyDescent="0.35">
      <c r="A176" s="8"/>
      <c r="B176" s="9"/>
      <c r="C176" s="22">
        <f>3*12</f>
        <v>36</v>
      </c>
      <c r="D176" s="22">
        <v>1</v>
      </c>
      <c r="E176" s="9">
        <v>1</v>
      </c>
      <c r="F176" s="10">
        <f t="shared" si="14"/>
        <v>36</v>
      </c>
      <c r="G176" s="10"/>
      <c r="H176" s="10"/>
      <c r="I176" s="10"/>
      <c r="J176" s="14"/>
      <c r="K176" s="14"/>
      <c r="L176" s="22"/>
      <c r="M176" s="47"/>
      <c r="N176" s="41"/>
      <c r="O176" s="22"/>
      <c r="P176" s="22"/>
      <c r="Q176" s="45"/>
      <c r="S176" s="50"/>
      <c r="T176" s="50"/>
      <c r="U176" s="50"/>
      <c r="V176" s="50"/>
    </row>
    <row r="177" spans="1:22" s="2" customFormat="1" hidden="1" outlineLevel="1" x14ac:dyDescent="0.35">
      <c r="A177" s="8"/>
      <c r="B177" s="9"/>
      <c r="C177" s="22"/>
      <c r="D177" s="22"/>
      <c r="E177" s="9"/>
      <c r="F177" s="10"/>
      <c r="G177" s="10"/>
      <c r="H177" s="10"/>
      <c r="I177" s="10"/>
      <c r="J177" s="14"/>
      <c r="K177" s="14"/>
      <c r="L177" s="22"/>
      <c r="M177" s="47"/>
      <c r="N177" s="41"/>
      <c r="O177" s="22"/>
      <c r="P177" s="22"/>
      <c r="Q177" s="45"/>
      <c r="S177" s="50"/>
      <c r="T177" s="50"/>
      <c r="U177" s="50"/>
      <c r="V177" s="50"/>
    </row>
    <row r="178" spans="1:22" s="2" customFormat="1" hidden="1" outlineLevel="1" x14ac:dyDescent="0.35">
      <c r="A178" s="8"/>
      <c r="B178" s="9"/>
      <c r="C178" s="22"/>
      <c r="D178" s="22"/>
      <c r="E178" s="9"/>
      <c r="F178" s="10">
        <f>SUM(F172:F177)</f>
        <v>530</v>
      </c>
      <c r="G178" s="10"/>
      <c r="H178" s="10"/>
      <c r="I178" s="10"/>
      <c r="J178" s="14"/>
      <c r="K178" s="14"/>
      <c r="L178" s="22"/>
      <c r="M178" s="47"/>
      <c r="N178" s="41"/>
      <c r="O178" s="22"/>
      <c r="P178" s="22"/>
      <c r="Q178" s="45"/>
      <c r="S178" s="50"/>
      <c r="T178" s="50"/>
      <c r="U178" s="50"/>
      <c r="V178" s="50"/>
    </row>
    <row r="179" spans="1:22" s="2" customFormat="1" hidden="1" outlineLevel="1" x14ac:dyDescent="0.35">
      <c r="A179" s="8"/>
      <c r="B179" s="9"/>
      <c r="C179" s="22"/>
      <c r="D179" s="22" t="s">
        <v>154</v>
      </c>
      <c r="E179" s="9"/>
      <c r="F179" s="10">
        <v>3.75</v>
      </c>
      <c r="G179" s="10"/>
      <c r="H179" s="10"/>
      <c r="I179" s="10"/>
      <c r="J179" s="14"/>
      <c r="K179" s="14"/>
      <c r="L179" s="22"/>
      <c r="M179" s="47"/>
      <c r="N179" s="41"/>
      <c r="O179" s="22"/>
      <c r="P179" s="22"/>
      <c r="Q179" s="45"/>
      <c r="S179" s="50"/>
      <c r="T179" s="50"/>
      <c r="U179" s="50"/>
      <c r="V179" s="50"/>
    </row>
    <row r="180" spans="1:22" s="2" customFormat="1" hidden="1" outlineLevel="1" x14ac:dyDescent="0.35">
      <c r="A180" s="8"/>
      <c r="B180" s="9"/>
      <c r="C180" s="22"/>
      <c r="D180" s="22"/>
      <c r="E180" s="9"/>
      <c r="F180" s="10"/>
      <c r="G180" s="10"/>
      <c r="H180" s="10"/>
      <c r="I180" s="10"/>
      <c r="J180" s="14"/>
      <c r="K180" s="14"/>
      <c r="L180" s="22"/>
      <c r="M180" s="47"/>
      <c r="N180" s="41"/>
      <c r="O180" s="22"/>
      <c r="P180" s="22"/>
      <c r="Q180" s="45"/>
      <c r="S180" s="50"/>
      <c r="T180" s="50"/>
      <c r="U180" s="50"/>
      <c r="V180" s="50"/>
    </row>
    <row r="181" spans="1:22" s="2" customFormat="1" hidden="1" outlineLevel="1" x14ac:dyDescent="0.35">
      <c r="A181" s="8"/>
      <c r="B181" s="9"/>
      <c r="C181" s="22"/>
      <c r="D181" s="22"/>
      <c r="E181" s="9"/>
      <c r="F181" s="10">
        <f>+F178*F179</f>
        <v>1987.5</v>
      </c>
      <c r="G181" s="10"/>
      <c r="H181" s="10"/>
      <c r="I181" s="10"/>
      <c r="J181" s="14"/>
      <c r="K181" s="14"/>
      <c r="L181" s="22"/>
      <c r="M181" s="47"/>
      <c r="N181" s="41"/>
      <c r="O181" s="22"/>
      <c r="P181" s="22"/>
      <c r="Q181" s="45"/>
      <c r="S181" s="50"/>
      <c r="T181" s="50"/>
      <c r="U181" s="50"/>
      <c r="V181" s="50"/>
    </row>
    <row r="182" spans="1:22" collapsed="1" x14ac:dyDescent="0.35">
      <c r="A182" s="6"/>
      <c r="B182" s="56"/>
      <c r="C182" s="86"/>
      <c r="D182" s="86"/>
      <c r="E182" s="56"/>
      <c r="F182" s="6"/>
      <c r="G182" s="6"/>
      <c r="H182" s="6"/>
      <c r="I182" s="6"/>
      <c r="J182" s="14"/>
      <c r="K182" s="14"/>
      <c r="L182" s="21"/>
      <c r="M182" s="46"/>
      <c r="N182" s="40"/>
      <c r="O182" s="21"/>
      <c r="P182" s="21"/>
      <c r="Q182" s="45"/>
      <c r="S182" s="3"/>
      <c r="T182" s="3"/>
      <c r="U182" s="3"/>
      <c r="V182" s="3"/>
    </row>
    <row r="183" spans="1:22" x14ac:dyDescent="0.35">
      <c r="A183" s="6">
        <f>+A171+1</f>
        <v>16</v>
      </c>
      <c r="B183" s="57" t="s">
        <v>179</v>
      </c>
      <c r="C183" s="85"/>
      <c r="D183" s="85"/>
      <c r="E183" s="57"/>
      <c r="F183" s="58">
        <v>226</v>
      </c>
      <c r="G183" s="6" t="s">
        <v>154</v>
      </c>
      <c r="H183" s="6"/>
      <c r="I183" s="6" t="str">
        <f>+$Q$2</f>
        <v>??</v>
      </c>
      <c r="J183" s="14" t="e">
        <f>+F183*H183*I183</f>
        <v>#VALUE!</v>
      </c>
      <c r="K183" s="14"/>
      <c r="L183" s="21"/>
      <c r="M183" s="46">
        <v>2.5000000000000001E-2</v>
      </c>
      <c r="N183" s="40">
        <f>+L183*M183</f>
        <v>0</v>
      </c>
      <c r="O183" s="21"/>
      <c r="P183" s="21"/>
      <c r="Q183" s="45">
        <f>+(F183*L183)+(F183*N183)+O183+P183</f>
        <v>0</v>
      </c>
      <c r="S183" s="53" t="e">
        <f>+T183/F183</f>
        <v>#VALUE!</v>
      </c>
      <c r="T183" s="49" t="e">
        <f>+J183+K183+Q183</f>
        <v>#VALUE!</v>
      </c>
      <c r="U183" s="49"/>
      <c r="V183" s="53">
        <f>+F183*H183</f>
        <v>0</v>
      </c>
    </row>
    <row r="184" spans="1:22" s="2" customFormat="1" hidden="1" outlineLevel="1" x14ac:dyDescent="0.35">
      <c r="A184" s="8"/>
      <c r="B184" s="9" t="s">
        <v>144</v>
      </c>
      <c r="C184" s="22">
        <v>16</v>
      </c>
      <c r="D184" s="22">
        <v>1</v>
      </c>
      <c r="E184" s="9">
        <v>2</v>
      </c>
      <c r="F184" s="10">
        <f>+C184*D184*E184</f>
        <v>32</v>
      </c>
      <c r="G184" s="10"/>
      <c r="H184" s="10"/>
      <c r="I184" s="10"/>
      <c r="J184" s="14"/>
      <c r="K184" s="14"/>
      <c r="L184" s="22"/>
      <c r="M184" s="47"/>
      <c r="N184" s="41"/>
      <c r="O184" s="22"/>
      <c r="P184" s="22"/>
      <c r="Q184" s="45"/>
      <c r="S184" s="50"/>
      <c r="T184" s="50"/>
      <c r="U184" s="50"/>
      <c r="V184" s="50"/>
    </row>
    <row r="185" spans="1:22" s="2" customFormat="1" hidden="1" outlineLevel="1" x14ac:dyDescent="0.35">
      <c r="A185" s="8"/>
      <c r="B185" s="9" t="s">
        <v>178</v>
      </c>
      <c r="C185" s="22">
        <v>16</v>
      </c>
      <c r="D185" s="22">
        <v>2</v>
      </c>
      <c r="E185" s="9">
        <v>2</v>
      </c>
      <c r="F185" s="10">
        <f t="shared" ref="F185:F187" si="15">+C185*D185*E185</f>
        <v>64</v>
      </c>
      <c r="G185" s="10"/>
      <c r="H185" s="10"/>
      <c r="I185" s="10"/>
      <c r="J185" s="14"/>
      <c r="K185" s="14"/>
      <c r="L185" s="22"/>
      <c r="M185" s="47"/>
      <c r="N185" s="41"/>
      <c r="O185" s="22"/>
      <c r="P185" s="22"/>
      <c r="Q185" s="45"/>
      <c r="S185" s="50"/>
      <c r="T185" s="50"/>
      <c r="U185" s="50"/>
      <c r="V185" s="50"/>
    </row>
    <row r="186" spans="1:22" s="2" customFormat="1" hidden="1" outlineLevel="1" x14ac:dyDescent="0.35">
      <c r="A186" s="8"/>
      <c r="B186" s="9" t="s">
        <v>160</v>
      </c>
      <c r="C186" s="22">
        <v>6</v>
      </c>
      <c r="D186" s="22">
        <v>1</v>
      </c>
      <c r="E186" s="9">
        <v>4</v>
      </c>
      <c r="F186" s="10">
        <f t="shared" si="15"/>
        <v>24</v>
      </c>
      <c r="G186" s="10"/>
      <c r="H186" s="10"/>
      <c r="I186" s="10"/>
      <c r="J186" s="14"/>
      <c r="K186" s="14"/>
      <c r="L186" s="22"/>
      <c r="M186" s="47"/>
      <c r="N186" s="41"/>
      <c r="O186" s="22"/>
      <c r="P186" s="22"/>
      <c r="Q186" s="45"/>
      <c r="S186" s="50"/>
      <c r="T186" s="50"/>
      <c r="U186" s="50"/>
      <c r="V186" s="50"/>
    </row>
    <row r="187" spans="1:22" s="2" customFormat="1" hidden="1" outlineLevel="1" x14ac:dyDescent="0.35">
      <c r="A187" s="8"/>
      <c r="B187" s="9"/>
      <c r="C187" s="22"/>
      <c r="D187" s="22"/>
      <c r="E187" s="9">
        <v>1</v>
      </c>
      <c r="F187" s="10">
        <f t="shared" si="15"/>
        <v>0</v>
      </c>
      <c r="G187" s="10"/>
      <c r="H187" s="10"/>
      <c r="I187" s="10"/>
      <c r="J187" s="14"/>
      <c r="K187" s="14"/>
      <c r="L187" s="22"/>
      <c r="M187" s="47"/>
      <c r="N187" s="41"/>
      <c r="O187" s="22"/>
      <c r="P187" s="22"/>
      <c r="Q187" s="45"/>
      <c r="S187" s="50"/>
      <c r="T187" s="50"/>
      <c r="U187" s="50"/>
      <c r="V187" s="50"/>
    </row>
    <row r="188" spans="1:22" s="2" customFormat="1" hidden="1" outlineLevel="1" x14ac:dyDescent="0.35">
      <c r="A188" s="8"/>
      <c r="B188" s="9"/>
      <c r="C188" s="22"/>
      <c r="D188" s="22"/>
      <c r="E188" s="9"/>
      <c r="F188" s="10"/>
      <c r="G188" s="10"/>
      <c r="H188" s="10"/>
      <c r="I188" s="10"/>
      <c r="J188" s="14"/>
      <c r="K188" s="14"/>
      <c r="L188" s="22"/>
      <c r="M188" s="47"/>
      <c r="N188" s="41"/>
      <c r="O188" s="22"/>
      <c r="P188" s="22"/>
      <c r="Q188" s="45"/>
      <c r="S188" s="50"/>
      <c r="T188" s="50"/>
      <c r="U188" s="50"/>
      <c r="V188" s="50"/>
    </row>
    <row r="189" spans="1:22" s="2" customFormat="1" hidden="1" outlineLevel="1" x14ac:dyDescent="0.35">
      <c r="A189" s="8"/>
      <c r="B189" s="9"/>
      <c r="C189" s="22"/>
      <c r="D189" s="22"/>
      <c r="E189" s="9"/>
      <c r="F189" s="10">
        <f>SUM(F184:F188)</f>
        <v>120</v>
      </c>
      <c r="G189" s="10"/>
      <c r="H189" s="10"/>
      <c r="I189" s="10"/>
      <c r="J189" s="14"/>
      <c r="K189" s="14"/>
      <c r="L189" s="22"/>
      <c r="M189" s="47"/>
      <c r="N189" s="41"/>
      <c r="O189" s="22"/>
      <c r="P189" s="22"/>
      <c r="Q189" s="45"/>
      <c r="S189" s="50"/>
      <c r="T189" s="50"/>
      <c r="U189" s="50"/>
      <c r="V189" s="50"/>
    </row>
    <row r="190" spans="1:22" s="2" customFormat="1" hidden="1" outlineLevel="1" x14ac:dyDescent="0.35">
      <c r="A190" s="8"/>
      <c r="B190" s="9"/>
      <c r="C190" s="22"/>
      <c r="D190" s="22" t="s">
        <v>154</v>
      </c>
      <c r="E190" s="9"/>
      <c r="F190" s="10">
        <v>1.5780000000000001</v>
      </c>
      <c r="G190" s="10"/>
      <c r="H190" s="10"/>
      <c r="I190" s="10"/>
      <c r="J190" s="14"/>
      <c r="K190" s="14"/>
      <c r="L190" s="22"/>
      <c r="M190" s="47"/>
      <c r="N190" s="41"/>
      <c r="O190" s="22"/>
      <c r="P190" s="22"/>
      <c r="Q190" s="45"/>
      <c r="S190" s="50"/>
      <c r="T190" s="50"/>
      <c r="U190" s="50"/>
      <c r="V190" s="50"/>
    </row>
    <row r="191" spans="1:22" s="2" customFormat="1" hidden="1" outlineLevel="1" x14ac:dyDescent="0.35">
      <c r="A191" s="8"/>
      <c r="B191" s="9"/>
      <c r="C191" s="22"/>
      <c r="D191" s="22"/>
      <c r="E191" s="9"/>
      <c r="F191" s="10"/>
      <c r="G191" s="10"/>
      <c r="H191" s="10"/>
      <c r="I191" s="10"/>
      <c r="J191" s="14"/>
      <c r="K191" s="14"/>
      <c r="L191" s="22"/>
      <c r="M191" s="47"/>
      <c r="N191" s="41"/>
      <c r="O191" s="22"/>
      <c r="P191" s="22"/>
      <c r="Q191" s="45"/>
      <c r="S191" s="50"/>
      <c r="T191" s="50"/>
      <c r="U191" s="50"/>
      <c r="V191" s="50"/>
    </row>
    <row r="192" spans="1:22" s="2" customFormat="1" hidden="1" outlineLevel="1" x14ac:dyDescent="0.35">
      <c r="A192" s="8"/>
      <c r="B192" s="9"/>
      <c r="C192" s="22"/>
      <c r="D192" s="22"/>
      <c r="E192" s="9"/>
      <c r="F192" s="10">
        <f>+F189*F190</f>
        <v>189.36</v>
      </c>
      <c r="G192" s="10"/>
      <c r="H192" s="10"/>
      <c r="I192" s="10"/>
      <c r="J192" s="14"/>
      <c r="K192" s="14"/>
      <c r="L192" s="22"/>
      <c r="M192" s="47"/>
      <c r="N192" s="41"/>
      <c r="O192" s="22"/>
      <c r="P192" s="22"/>
      <c r="Q192" s="45"/>
      <c r="S192" s="50"/>
      <c r="T192" s="50"/>
      <c r="U192" s="50"/>
      <c r="V192" s="50"/>
    </row>
    <row r="193" spans="1:22" collapsed="1" x14ac:dyDescent="0.35">
      <c r="A193" s="6"/>
      <c r="B193" s="56"/>
      <c r="C193" s="86"/>
      <c r="D193" s="86"/>
      <c r="E193" s="56"/>
      <c r="F193" s="6"/>
      <c r="G193" s="6"/>
      <c r="H193" s="6"/>
      <c r="I193" s="6"/>
      <c r="J193" s="14"/>
      <c r="K193" s="14"/>
      <c r="L193" s="21"/>
      <c r="M193" s="46"/>
      <c r="N193" s="40"/>
      <c r="O193" s="21"/>
      <c r="P193" s="21"/>
      <c r="Q193" s="45"/>
      <c r="S193" s="3"/>
      <c r="T193" s="3"/>
      <c r="U193" s="3"/>
      <c r="V193" s="3"/>
    </row>
    <row r="194" spans="1:22" x14ac:dyDescent="0.35">
      <c r="A194" s="6">
        <f>+A183+1</f>
        <v>17</v>
      </c>
      <c r="B194" s="57" t="s">
        <v>171</v>
      </c>
      <c r="C194" s="85"/>
      <c r="D194" s="85"/>
      <c r="E194" s="57"/>
      <c r="F194" s="58">
        <v>445</v>
      </c>
      <c r="G194" s="6" t="s">
        <v>10</v>
      </c>
      <c r="H194" s="6"/>
      <c r="I194" s="6" t="str">
        <f>+$Q$2</f>
        <v>??</v>
      </c>
      <c r="J194" s="14" t="e">
        <f>+F194*H194*I194</f>
        <v>#VALUE!</v>
      </c>
      <c r="K194" s="14"/>
      <c r="L194" s="21"/>
      <c r="M194" s="46">
        <v>0.1</v>
      </c>
      <c r="N194" s="40">
        <f>+L194*M194</f>
        <v>0</v>
      </c>
      <c r="O194" s="21"/>
      <c r="P194" s="21"/>
      <c r="Q194" s="45">
        <f>+(F194*L194)+(F194*N194)+O194+P194</f>
        <v>0</v>
      </c>
      <c r="S194" s="53" t="e">
        <f>+T194/F194</f>
        <v>#VALUE!</v>
      </c>
      <c r="T194" s="49" t="e">
        <f>+J194+K194+Q194</f>
        <v>#VALUE!</v>
      </c>
      <c r="U194" s="49"/>
      <c r="V194" s="53">
        <f>+F194*H194</f>
        <v>0</v>
      </c>
    </row>
    <row r="195" spans="1:22" s="2" customFormat="1" hidden="1" outlineLevel="1" x14ac:dyDescent="0.35">
      <c r="A195" s="8"/>
      <c r="B195" s="9" t="s">
        <v>120</v>
      </c>
      <c r="C195" s="22">
        <v>23.6</v>
      </c>
      <c r="D195" s="22">
        <v>16</v>
      </c>
      <c r="E195" s="9">
        <v>1</v>
      </c>
      <c r="F195" s="10">
        <f>+C195*D195*E195</f>
        <v>377.6</v>
      </c>
      <c r="G195" s="10"/>
      <c r="H195" s="10"/>
      <c r="I195" s="10"/>
      <c r="J195" s="14"/>
      <c r="K195" s="14"/>
      <c r="L195" s="22"/>
      <c r="M195" s="47"/>
      <c r="N195" s="41"/>
      <c r="O195" s="22"/>
      <c r="P195" s="22"/>
      <c r="Q195" s="45"/>
      <c r="S195" s="50"/>
      <c r="T195" s="50"/>
      <c r="U195" s="50"/>
      <c r="V195" s="50"/>
    </row>
    <row r="196" spans="1:22" s="2" customFormat="1" hidden="1" outlineLevel="1" x14ac:dyDescent="0.35">
      <c r="A196" s="8"/>
      <c r="B196" s="9"/>
      <c r="C196" s="22"/>
      <c r="D196" s="22"/>
      <c r="E196" s="9">
        <f>0.1*2</f>
        <v>0.2</v>
      </c>
      <c r="F196" s="10">
        <f t="shared" ref="F196:F199" si="16">+C196*D196*E196</f>
        <v>0</v>
      </c>
      <c r="G196" s="10"/>
      <c r="H196" s="10"/>
      <c r="I196" s="10"/>
      <c r="J196" s="14"/>
      <c r="K196" s="14"/>
      <c r="L196" s="22"/>
      <c r="M196" s="47"/>
      <c r="N196" s="41"/>
      <c r="O196" s="22"/>
      <c r="P196" s="22"/>
      <c r="Q196" s="45"/>
      <c r="S196" s="50"/>
      <c r="T196" s="50"/>
      <c r="U196" s="50"/>
      <c r="V196" s="50"/>
    </row>
    <row r="197" spans="1:22" s="2" customFormat="1" hidden="1" outlineLevel="1" x14ac:dyDescent="0.35">
      <c r="A197" s="8"/>
      <c r="B197" s="9"/>
      <c r="C197" s="22"/>
      <c r="D197" s="22"/>
      <c r="E197" s="9">
        <v>0.6</v>
      </c>
      <c r="F197" s="10">
        <f t="shared" si="16"/>
        <v>0</v>
      </c>
      <c r="G197" s="10"/>
      <c r="H197" s="10"/>
      <c r="I197" s="10"/>
      <c r="J197" s="14"/>
      <c r="K197" s="14"/>
      <c r="L197" s="22"/>
      <c r="M197" s="47"/>
      <c r="N197" s="41"/>
      <c r="O197" s="22"/>
      <c r="P197" s="22"/>
      <c r="Q197" s="45"/>
      <c r="S197" s="50"/>
      <c r="T197" s="50"/>
      <c r="U197" s="50"/>
      <c r="V197" s="50"/>
    </row>
    <row r="198" spans="1:22" s="2" customFormat="1" hidden="1" outlineLevel="1" x14ac:dyDescent="0.35">
      <c r="A198" s="8"/>
      <c r="B198" s="9"/>
      <c r="C198" s="22"/>
      <c r="D198" s="22"/>
      <c r="E198" s="9">
        <v>0.6</v>
      </c>
      <c r="F198" s="10">
        <f t="shared" si="16"/>
        <v>0</v>
      </c>
      <c r="G198" s="10"/>
      <c r="H198" s="10"/>
      <c r="I198" s="10"/>
      <c r="J198" s="14"/>
      <c r="K198" s="14"/>
      <c r="L198" s="22"/>
      <c r="M198" s="47"/>
      <c r="N198" s="41"/>
      <c r="O198" s="22"/>
      <c r="P198" s="22"/>
      <c r="Q198" s="45"/>
      <c r="S198" s="50"/>
      <c r="T198" s="50"/>
      <c r="U198" s="50"/>
      <c r="V198" s="50"/>
    </row>
    <row r="199" spans="1:22" s="2" customFormat="1" hidden="1" outlineLevel="1" x14ac:dyDescent="0.35">
      <c r="A199" s="8"/>
      <c r="B199" s="9"/>
      <c r="C199" s="22"/>
      <c r="D199" s="22"/>
      <c r="E199" s="9">
        <v>1</v>
      </c>
      <c r="F199" s="10">
        <f t="shared" si="16"/>
        <v>0</v>
      </c>
      <c r="G199" s="10"/>
      <c r="H199" s="10"/>
      <c r="I199" s="10"/>
      <c r="J199" s="14"/>
      <c r="K199" s="14"/>
      <c r="L199" s="22"/>
      <c r="M199" s="47"/>
      <c r="N199" s="41"/>
      <c r="O199" s="22"/>
      <c r="P199" s="22"/>
      <c r="Q199" s="45"/>
      <c r="S199" s="50"/>
      <c r="T199" s="50"/>
      <c r="U199" s="50"/>
      <c r="V199" s="50"/>
    </row>
    <row r="200" spans="1:22" s="2" customFormat="1" hidden="1" outlineLevel="1" x14ac:dyDescent="0.35">
      <c r="A200" s="8"/>
      <c r="B200" s="9"/>
      <c r="C200" s="22"/>
      <c r="D200" s="22"/>
      <c r="E200" s="9"/>
      <c r="F200" s="10"/>
      <c r="G200" s="10"/>
      <c r="H200" s="10"/>
      <c r="I200" s="10"/>
      <c r="J200" s="14"/>
      <c r="K200" s="14"/>
      <c r="L200" s="22"/>
      <c r="M200" s="47"/>
      <c r="N200" s="41"/>
      <c r="O200" s="22"/>
      <c r="P200" s="22"/>
      <c r="Q200" s="45"/>
      <c r="S200" s="50"/>
      <c r="T200" s="50"/>
      <c r="U200" s="50"/>
      <c r="V200" s="50"/>
    </row>
    <row r="201" spans="1:22" s="2" customFormat="1" hidden="1" outlineLevel="1" x14ac:dyDescent="0.35">
      <c r="A201" s="8"/>
      <c r="B201" s="9"/>
      <c r="C201" s="22"/>
      <c r="D201" s="22"/>
      <c r="E201" s="9"/>
      <c r="F201" s="10">
        <f>SUM(F195:F200)</f>
        <v>377.6</v>
      </c>
      <c r="G201" s="10"/>
      <c r="H201" s="10"/>
      <c r="I201" s="10"/>
      <c r="J201" s="14"/>
      <c r="K201" s="14"/>
      <c r="L201" s="22"/>
      <c r="M201" s="47"/>
      <c r="N201" s="41"/>
      <c r="O201" s="22"/>
      <c r="P201" s="22"/>
      <c r="Q201" s="45"/>
      <c r="S201" s="50"/>
      <c r="T201" s="50"/>
      <c r="U201" s="50"/>
      <c r="V201" s="50"/>
    </row>
    <row r="202" spans="1:22" collapsed="1" x14ac:dyDescent="0.35">
      <c r="A202" s="6"/>
      <c r="B202" s="56"/>
      <c r="C202" s="86"/>
      <c r="D202" s="86"/>
      <c r="E202" s="56"/>
      <c r="F202" s="6"/>
      <c r="G202" s="6"/>
      <c r="H202" s="6"/>
      <c r="I202" s="6"/>
      <c r="J202" s="14"/>
      <c r="K202" s="14"/>
      <c r="L202" s="21"/>
      <c r="M202" s="46"/>
      <c r="N202" s="40"/>
      <c r="O202" s="21"/>
      <c r="P202" s="21"/>
      <c r="Q202" s="45"/>
      <c r="S202" s="3"/>
      <c r="T202" s="3"/>
      <c r="U202" s="3"/>
      <c r="V202" s="3"/>
    </row>
    <row r="203" spans="1:22" x14ac:dyDescent="0.35">
      <c r="A203" s="6">
        <f>+A194+1</f>
        <v>18</v>
      </c>
      <c r="B203" s="57" t="s">
        <v>172</v>
      </c>
      <c r="C203" s="85"/>
      <c r="D203" s="85"/>
      <c r="E203" s="57"/>
      <c r="F203" s="58">
        <f>+ROUNDUP(F215,0)</f>
        <v>4688</v>
      </c>
      <c r="G203" s="6" t="s">
        <v>154</v>
      </c>
      <c r="H203" s="6"/>
      <c r="I203" s="6" t="str">
        <f>+$Q$2</f>
        <v>??</v>
      </c>
      <c r="J203" s="14" t="e">
        <f>+F203*H203*I203</f>
        <v>#VALUE!</v>
      </c>
      <c r="K203" s="14"/>
      <c r="L203" s="21"/>
      <c r="M203" s="46">
        <v>2.5000000000000001E-2</v>
      </c>
      <c r="N203" s="40">
        <f>+L203*M203</f>
        <v>0</v>
      </c>
      <c r="O203" s="21"/>
      <c r="P203" s="21"/>
      <c r="Q203" s="45">
        <f>+(F203*L203)+(F203*N203)+O203+P203</f>
        <v>0</v>
      </c>
      <c r="S203" s="53" t="e">
        <f>+T203/F203</f>
        <v>#VALUE!</v>
      </c>
      <c r="T203" s="49" t="e">
        <f>+J203+K203+Q203</f>
        <v>#VALUE!</v>
      </c>
      <c r="U203" s="49"/>
      <c r="V203" s="53">
        <f>+F203*H203</f>
        <v>0</v>
      </c>
    </row>
    <row r="204" spans="1:22" s="2" customFormat="1" hidden="1" outlineLevel="1" x14ac:dyDescent="0.35">
      <c r="A204" s="8"/>
      <c r="B204" s="9"/>
      <c r="C204" s="22"/>
      <c r="D204" s="22"/>
      <c r="E204" s="9"/>
      <c r="F204" s="10">
        <f>+C204*D204*E204</f>
        <v>0</v>
      </c>
      <c r="G204" s="10"/>
      <c r="H204" s="10"/>
      <c r="I204" s="10"/>
      <c r="J204" s="14"/>
      <c r="K204" s="14"/>
      <c r="L204" s="22"/>
      <c r="M204" s="47"/>
      <c r="N204" s="41"/>
      <c r="O204" s="22"/>
      <c r="P204" s="22"/>
      <c r="Q204" s="45"/>
      <c r="S204" s="50"/>
      <c r="T204" s="50"/>
      <c r="U204" s="50"/>
      <c r="V204" s="50"/>
    </row>
    <row r="205" spans="1:22" s="2" customFormat="1" hidden="1" outlineLevel="1" x14ac:dyDescent="0.35">
      <c r="A205" s="8"/>
      <c r="B205" s="9" t="s">
        <v>121</v>
      </c>
      <c r="C205" s="22">
        <v>21.5</v>
      </c>
      <c r="D205" s="22">
        <f>16/0.3+1</f>
        <v>54.333333333333336</v>
      </c>
      <c r="E205" s="9">
        <v>2</v>
      </c>
      <c r="F205" s="10">
        <f t="shared" ref="F205:F210" si="17">+C205*D205*E205</f>
        <v>2336.3333333333335</v>
      </c>
      <c r="G205" s="10"/>
      <c r="H205" s="10"/>
      <c r="I205" s="10"/>
      <c r="J205" s="14"/>
      <c r="K205" s="14"/>
      <c r="L205" s="22"/>
      <c r="M205" s="47"/>
      <c r="N205" s="41"/>
      <c r="O205" s="22"/>
      <c r="P205" s="22"/>
      <c r="Q205" s="45"/>
      <c r="S205" s="50"/>
      <c r="T205" s="50"/>
      <c r="U205" s="50"/>
      <c r="V205" s="50"/>
    </row>
    <row r="206" spans="1:22" s="2" customFormat="1" hidden="1" outlineLevel="1" x14ac:dyDescent="0.35">
      <c r="A206" s="8"/>
      <c r="B206" s="9"/>
      <c r="C206" s="22">
        <v>16</v>
      </c>
      <c r="D206" s="22">
        <f>21.5/0.3+1</f>
        <v>72.666666666666671</v>
      </c>
      <c r="E206" s="9">
        <v>2</v>
      </c>
      <c r="F206" s="10">
        <f t="shared" si="17"/>
        <v>2325.3333333333335</v>
      </c>
      <c r="G206" s="10"/>
      <c r="H206" s="10"/>
      <c r="I206" s="10"/>
      <c r="J206" s="14"/>
      <c r="K206" s="14"/>
      <c r="L206" s="22"/>
      <c r="M206" s="47"/>
      <c r="N206" s="41"/>
      <c r="O206" s="22"/>
      <c r="P206" s="22"/>
      <c r="Q206" s="45"/>
      <c r="S206" s="50"/>
      <c r="T206" s="50"/>
      <c r="U206" s="50"/>
      <c r="V206" s="50"/>
    </row>
    <row r="207" spans="1:22" s="2" customFormat="1" hidden="1" outlineLevel="1" x14ac:dyDescent="0.35">
      <c r="A207" s="8"/>
      <c r="B207" s="9" t="s">
        <v>160</v>
      </c>
      <c r="C207" s="22">
        <v>3</v>
      </c>
      <c r="D207" s="22">
        <f>+D205</f>
        <v>54.333333333333336</v>
      </c>
      <c r="E207" s="9">
        <v>2</v>
      </c>
      <c r="F207" s="10">
        <f t="shared" si="17"/>
        <v>326</v>
      </c>
      <c r="G207" s="10"/>
      <c r="H207" s="10"/>
      <c r="I207" s="10"/>
      <c r="J207" s="14"/>
      <c r="K207" s="14"/>
      <c r="L207" s="22"/>
      <c r="M207" s="47"/>
      <c r="N207" s="41"/>
      <c r="O207" s="22"/>
      <c r="P207" s="22"/>
      <c r="Q207" s="45"/>
      <c r="S207" s="50"/>
      <c r="T207" s="50"/>
      <c r="U207" s="50"/>
      <c r="V207" s="50"/>
    </row>
    <row r="208" spans="1:22" s="2" customFormat="1" hidden="1" outlineLevel="1" x14ac:dyDescent="0.35">
      <c r="A208" s="8"/>
      <c r="B208" s="9"/>
      <c r="C208" s="22">
        <v>2</v>
      </c>
      <c r="D208" s="22">
        <f>+D206</f>
        <v>72.666666666666671</v>
      </c>
      <c r="E208" s="9">
        <v>2</v>
      </c>
      <c r="F208" s="10">
        <f t="shared" si="17"/>
        <v>290.66666666666669</v>
      </c>
      <c r="G208" s="10"/>
      <c r="H208" s="10"/>
      <c r="I208" s="10"/>
      <c r="J208" s="14"/>
      <c r="K208" s="14"/>
      <c r="L208" s="22"/>
      <c r="M208" s="47"/>
      <c r="N208" s="41"/>
      <c r="O208" s="22"/>
      <c r="P208" s="22"/>
      <c r="Q208" s="45"/>
      <c r="S208" s="50"/>
      <c r="T208" s="50"/>
      <c r="U208" s="50"/>
      <c r="V208" s="50"/>
    </row>
    <row r="209" spans="1:22" s="2" customFormat="1" hidden="1" outlineLevel="1" x14ac:dyDescent="0.35">
      <c r="A209" s="8"/>
      <c r="B209" s="9"/>
      <c r="C209" s="22"/>
      <c r="D209" s="22"/>
      <c r="E209" s="9"/>
      <c r="F209" s="10"/>
      <c r="G209" s="10"/>
      <c r="H209" s="10"/>
      <c r="I209" s="10"/>
      <c r="J209" s="14"/>
      <c r="K209" s="14"/>
      <c r="L209" s="22"/>
      <c r="M209" s="47"/>
      <c r="N209" s="41"/>
      <c r="O209" s="22"/>
      <c r="P209" s="22"/>
      <c r="Q209" s="45"/>
      <c r="S209" s="50"/>
      <c r="T209" s="50"/>
      <c r="U209" s="50"/>
      <c r="V209" s="50"/>
    </row>
    <row r="210" spans="1:22" s="2" customFormat="1" hidden="1" outlineLevel="1" x14ac:dyDescent="0.35">
      <c r="A210" s="8"/>
      <c r="B210" s="9"/>
      <c r="C210" s="22"/>
      <c r="D210" s="22"/>
      <c r="E210" s="9">
        <v>1</v>
      </c>
      <c r="F210" s="10">
        <f t="shared" si="17"/>
        <v>0</v>
      </c>
      <c r="G210" s="10"/>
      <c r="H210" s="10"/>
      <c r="I210" s="10"/>
      <c r="J210" s="14"/>
      <c r="K210" s="14"/>
      <c r="L210" s="22"/>
      <c r="M210" s="47"/>
      <c r="N210" s="41"/>
      <c r="O210" s="22"/>
      <c r="P210" s="22"/>
      <c r="Q210" s="45"/>
      <c r="S210" s="50"/>
      <c r="T210" s="50"/>
      <c r="U210" s="50"/>
      <c r="V210" s="50"/>
    </row>
    <row r="211" spans="1:22" s="2" customFormat="1" hidden="1" outlineLevel="1" x14ac:dyDescent="0.35">
      <c r="A211" s="8"/>
      <c r="B211" s="9"/>
      <c r="C211" s="22"/>
      <c r="D211" s="22"/>
      <c r="E211" s="9"/>
      <c r="F211" s="10"/>
      <c r="G211" s="10"/>
      <c r="H211" s="10"/>
      <c r="I211" s="10"/>
      <c r="J211" s="14"/>
      <c r="K211" s="14"/>
      <c r="L211" s="22"/>
      <c r="M211" s="47"/>
      <c r="N211" s="41"/>
      <c r="O211" s="22"/>
      <c r="P211" s="22"/>
      <c r="Q211" s="45"/>
      <c r="S211" s="50"/>
      <c r="T211" s="50"/>
      <c r="U211" s="50"/>
      <c r="V211" s="50"/>
    </row>
    <row r="212" spans="1:22" s="2" customFormat="1" hidden="1" outlineLevel="1" x14ac:dyDescent="0.35">
      <c r="A212" s="8"/>
      <c r="B212" s="9"/>
      <c r="C212" s="22"/>
      <c r="D212" s="22"/>
      <c r="E212" s="9"/>
      <c r="F212" s="10">
        <f>SUM(F204:F211)</f>
        <v>5278.3333333333339</v>
      </c>
      <c r="G212" s="10"/>
      <c r="H212" s="10"/>
      <c r="I212" s="10"/>
      <c r="J212" s="14"/>
      <c r="K212" s="14"/>
      <c r="L212" s="22"/>
      <c r="M212" s="47"/>
      <c r="N212" s="41"/>
      <c r="O212" s="22"/>
      <c r="P212" s="22"/>
      <c r="Q212" s="45"/>
      <c r="S212" s="50"/>
      <c r="T212" s="50"/>
      <c r="U212" s="50"/>
      <c r="V212" s="50"/>
    </row>
    <row r="213" spans="1:22" s="2" customFormat="1" hidden="1" outlineLevel="1" x14ac:dyDescent="0.35">
      <c r="A213" s="8"/>
      <c r="B213" s="9"/>
      <c r="C213" s="22"/>
      <c r="D213" s="22" t="s">
        <v>154</v>
      </c>
      <c r="E213" s="9"/>
      <c r="F213" s="10">
        <v>0.88800000000000001</v>
      </c>
      <c r="G213" s="10"/>
      <c r="H213" s="10"/>
      <c r="I213" s="10"/>
      <c r="J213" s="14"/>
      <c r="K213" s="14"/>
      <c r="L213" s="22"/>
      <c r="M213" s="47"/>
      <c r="N213" s="41"/>
      <c r="O213" s="22"/>
      <c r="P213" s="22"/>
      <c r="Q213" s="45"/>
      <c r="S213" s="50"/>
      <c r="T213" s="50"/>
      <c r="U213" s="50"/>
      <c r="V213" s="50"/>
    </row>
    <row r="214" spans="1:22" s="2" customFormat="1" hidden="1" outlineLevel="1" x14ac:dyDescent="0.35">
      <c r="A214" s="8"/>
      <c r="B214" s="9"/>
      <c r="C214" s="22"/>
      <c r="D214" s="22"/>
      <c r="E214" s="9"/>
      <c r="F214" s="10"/>
      <c r="G214" s="10"/>
      <c r="H214" s="10"/>
      <c r="I214" s="10"/>
      <c r="J214" s="14"/>
      <c r="K214" s="14"/>
      <c r="L214" s="22"/>
      <c r="M214" s="47"/>
      <c r="N214" s="41"/>
      <c r="O214" s="22"/>
      <c r="P214" s="22"/>
      <c r="Q214" s="45"/>
      <c r="S214" s="50"/>
      <c r="T214" s="50"/>
      <c r="U214" s="50"/>
      <c r="V214" s="50"/>
    </row>
    <row r="215" spans="1:22" s="2" customFormat="1" hidden="1" outlineLevel="1" x14ac:dyDescent="0.35">
      <c r="A215" s="8"/>
      <c r="B215" s="9"/>
      <c r="C215" s="22"/>
      <c r="D215" s="22"/>
      <c r="E215" s="9"/>
      <c r="F215" s="10">
        <f>+F212*F213</f>
        <v>4687.1600000000008</v>
      </c>
      <c r="G215" s="10"/>
      <c r="H215" s="10"/>
      <c r="I215" s="10"/>
      <c r="J215" s="14"/>
      <c r="K215" s="14"/>
      <c r="L215" s="22"/>
      <c r="M215" s="47"/>
      <c r="N215" s="41"/>
      <c r="O215" s="22"/>
      <c r="P215" s="22"/>
      <c r="Q215" s="45"/>
      <c r="S215" s="50"/>
      <c r="T215" s="50"/>
      <c r="U215" s="50"/>
      <c r="V215" s="50"/>
    </row>
    <row r="216" spans="1:22" collapsed="1" x14ac:dyDescent="0.35">
      <c r="A216" s="6"/>
      <c r="B216" s="56"/>
      <c r="C216" s="86"/>
      <c r="D216" s="86"/>
      <c r="E216" s="56"/>
      <c r="F216" s="6"/>
      <c r="G216" s="6"/>
      <c r="H216" s="6"/>
      <c r="I216" s="6"/>
      <c r="J216" s="14"/>
      <c r="K216" s="14"/>
      <c r="L216" s="21"/>
      <c r="M216" s="46"/>
      <c r="N216" s="40"/>
      <c r="O216" s="21"/>
      <c r="P216" s="21"/>
      <c r="Q216" s="45"/>
      <c r="S216" s="3"/>
      <c r="T216" s="3"/>
      <c r="U216" s="3"/>
      <c r="V216" s="3"/>
    </row>
    <row r="217" spans="1:22" x14ac:dyDescent="0.35">
      <c r="A217" s="6">
        <f>+A203+1</f>
        <v>19</v>
      </c>
      <c r="B217" s="57" t="s">
        <v>173</v>
      </c>
      <c r="C217" s="85"/>
      <c r="D217" s="85"/>
      <c r="E217" s="57"/>
      <c r="F217" s="58">
        <f>+ROUNDUP(F228,0)</f>
        <v>3310</v>
      </c>
      <c r="G217" s="6" t="s">
        <v>154</v>
      </c>
      <c r="H217" s="6"/>
      <c r="I217" s="6" t="str">
        <f>+$Q$2</f>
        <v>??</v>
      </c>
      <c r="J217" s="14" t="e">
        <f>+F217*H217*I217</f>
        <v>#VALUE!</v>
      </c>
      <c r="K217" s="14"/>
      <c r="L217" s="21"/>
      <c r="M217" s="46">
        <v>2.5000000000000001E-2</v>
      </c>
      <c r="N217" s="40">
        <f>+L217*M217</f>
        <v>0</v>
      </c>
      <c r="O217" s="21"/>
      <c r="P217" s="21"/>
      <c r="Q217" s="45">
        <f>+(F217*L217)+(F217*N217)+O217+P217</f>
        <v>0</v>
      </c>
      <c r="S217" s="53" t="e">
        <f>+T217/F217</f>
        <v>#VALUE!</v>
      </c>
      <c r="T217" s="49" t="e">
        <f>+J217+K217+Q217</f>
        <v>#VALUE!</v>
      </c>
      <c r="U217" s="49"/>
      <c r="V217" s="53">
        <f>+F217*H217</f>
        <v>0</v>
      </c>
    </row>
    <row r="218" spans="1:22" s="2" customFormat="1" hidden="1" outlineLevel="1" x14ac:dyDescent="0.35">
      <c r="A218" s="8"/>
      <c r="B218" s="9"/>
      <c r="C218" s="22"/>
      <c r="D218" s="22"/>
      <c r="E218" s="9"/>
      <c r="F218" s="10">
        <f>+C218*D218*E218</f>
        <v>0</v>
      </c>
      <c r="G218" s="10"/>
      <c r="H218" s="10"/>
      <c r="I218" s="10"/>
      <c r="J218" s="14"/>
      <c r="K218" s="14"/>
      <c r="L218" s="22"/>
      <c r="M218" s="47"/>
      <c r="N218" s="41"/>
      <c r="O218" s="22"/>
      <c r="P218" s="22"/>
      <c r="Q218" s="45"/>
      <c r="S218" s="50"/>
      <c r="T218" s="50"/>
      <c r="U218" s="50"/>
      <c r="V218" s="50"/>
    </row>
    <row r="219" spans="1:22" s="2" customFormat="1" hidden="1" outlineLevel="1" x14ac:dyDescent="0.35">
      <c r="A219" s="8"/>
      <c r="B219" s="9" t="s">
        <v>121</v>
      </c>
      <c r="C219" s="22">
        <f>2.25+3</f>
        <v>5.25</v>
      </c>
      <c r="D219" s="22">
        <f>16/0.2+1</f>
        <v>81</v>
      </c>
      <c r="E219" s="9">
        <v>2</v>
      </c>
      <c r="F219" s="10">
        <f t="shared" ref="F219:F223" si="18">+C219*D219*E219</f>
        <v>850.5</v>
      </c>
      <c r="G219" s="10"/>
      <c r="H219" s="10"/>
      <c r="I219" s="10"/>
      <c r="J219" s="14"/>
      <c r="K219" s="14"/>
      <c r="L219" s="22"/>
      <c r="M219" s="47"/>
      <c r="N219" s="41"/>
      <c r="O219" s="22"/>
      <c r="P219" s="22"/>
      <c r="Q219" s="45"/>
      <c r="S219" s="50"/>
      <c r="T219" s="50"/>
      <c r="U219" s="50"/>
      <c r="V219" s="50"/>
    </row>
    <row r="220" spans="1:22" s="2" customFormat="1" hidden="1" outlineLevel="1" x14ac:dyDescent="0.35">
      <c r="A220" s="8"/>
      <c r="B220" s="9"/>
      <c r="C220" s="22">
        <v>2.25</v>
      </c>
      <c r="D220" s="22">
        <f>16/0.2+1</f>
        <v>81</v>
      </c>
      <c r="E220" s="9">
        <v>2</v>
      </c>
      <c r="F220" s="10">
        <f t="shared" si="18"/>
        <v>364.5</v>
      </c>
      <c r="G220" s="10"/>
      <c r="H220" s="10"/>
      <c r="I220" s="10"/>
      <c r="J220" s="14"/>
      <c r="K220" s="14"/>
      <c r="L220" s="22"/>
      <c r="M220" s="47"/>
      <c r="N220" s="41"/>
      <c r="O220" s="22"/>
      <c r="P220" s="22"/>
      <c r="Q220" s="45"/>
      <c r="S220" s="50"/>
      <c r="T220" s="50"/>
      <c r="U220" s="50"/>
      <c r="V220" s="50"/>
    </row>
    <row r="221" spans="1:22" s="2" customFormat="1" hidden="1" outlineLevel="1" x14ac:dyDescent="0.35">
      <c r="A221" s="8"/>
      <c r="B221" s="9"/>
      <c r="C221" s="22">
        <v>16</v>
      </c>
      <c r="D221" s="22">
        <f>2.25/0.2+1</f>
        <v>12.25</v>
      </c>
      <c r="E221" s="9">
        <f>2*2</f>
        <v>4</v>
      </c>
      <c r="F221" s="10">
        <f t="shared" si="18"/>
        <v>784</v>
      </c>
      <c r="G221" s="10"/>
      <c r="H221" s="10"/>
      <c r="I221" s="10"/>
      <c r="J221" s="14"/>
      <c r="K221" s="14"/>
      <c r="L221" s="22"/>
      <c r="M221" s="47"/>
      <c r="N221" s="41"/>
      <c r="O221" s="22"/>
      <c r="P221" s="22"/>
      <c r="Q221" s="45"/>
      <c r="S221" s="50"/>
      <c r="T221" s="50"/>
      <c r="U221" s="50"/>
      <c r="V221" s="50"/>
    </row>
    <row r="222" spans="1:22" s="2" customFormat="1" hidden="1" outlineLevel="1" x14ac:dyDescent="0.35">
      <c r="A222" s="8"/>
      <c r="B222" s="9" t="s">
        <v>160</v>
      </c>
      <c r="C222" s="22">
        <v>2</v>
      </c>
      <c r="D222" s="22">
        <f>+D221</f>
        <v>12.25</v>
      </c>
      <c r="E222" s="9">
        <v>4</v>
      </c>
      <c r="F222" s="10">
        <f t="shared" si="18"/>
        <v>98</v>
      </c>
      <c r="G222" s="10"/>
      <c r="H222" s="10"/>
      <c r="I222" s="10"/>
      <c r="J222" s="14"/>
      <c r="K222" s="14"/>
      <c r="L222" s="22"/>
      <c r="M222" s="47"/>
      <c r="N222" s="41"/>
      <c r="O222" s="22"/>
      <c r="P222" s="22"/>
      <c r="Q222" s="45"/>
      <c r="S222" s="50"/>
      <c r="T222" s="50"/>
      <c r="U222" s="50"/>
      <c r="V222" s="50"/>
    </row>
    <row r="223" spans="1:22" s="2" customFormat="1" hidden="1" outlineLevel="1" x14ac:dyDescent="0.35">
      <c r="A223" s="8"/>
      <c r="B223" s="9"/>
      <c r="C223" s="22"/>
      <c r="D223" s="22"/>
      <c r="E223" s="9">
        <v>1</v>
      </c>
      <c r="F223" s="10">
        <f t="shared" si="18"/>
        <v>0</v>
      </c>
      <c r="G223" s="10"/>
      <c r="H223" s="10"/>
      <c r="I223" s="10"/>
      <c r="J223" s="14"/>
      <c r="K223" s="14"/>
      <c r="L223" s="22"/>
      <c r="M223" s="47"/>
      <c r="N223" s="41"/>
      <c r="O223" s="22"/>
      <c r="P223" s="22"/>
      <c r="Q223" s="45"/>
      <c r="S223" s="50"/>
      <c r="T223" s="50"/>
      <c r="U223" s="50"/>
      <c r="V223" s="50"/>
    </row>
    <row r="224" spans="1:22" s="2" customFormat="1" hidden="1" outlineLevel="1" x14ac:dyDescent="0.35">
      <c r="A224" s="8"/>
      <c r="B224" s="9"/>
      <c r="C224" s="22"/>
      <c r="D224" s="22"/>
      <c r="E224" s="9"/>
      <c r="F224" s="10"/>
      <c r="G224" s="10"/>
      <c r="H224" s="10"/>
      <c r="I224" s="10"/>
      <c r="J224" s="14"/>
      <c r="K224" s="14"/>
      <c r="L224" s="22"/>
      <c r="M224" s="47"/>
      <c r="N224" s="41"/>
      <c r="O224" s="22"/>
      <c r="P224" s="22"/>
      <c r="Q224" s="45"/>
      <c r="S224" s="50"/>
      <c r="T224" s="50"/>
      <c r="U224" s="50"/>
      <c r="V224" s="50"/>
    </row>
    <row r="225" spans="1:22" s="2" customFormat="1" hidden="1" outlineLevel="1" x14ac:dyDescent="0.35">
      <c r="A225" s="8"/>
      <c r="B225" s="9"/>
      <c r="C225" s="22"/>
      <c r="D225" s="22"/>
      <c r="E225" s="9"/>
      <c r="F225" s="10">
        <f>SUM(F218:F224)</f>
        <v>2097</v>
      </c>
      <c r="G225" s="10"/>
      <c r="H225" s="10"/>
      <c r="I225" s="10"/>
      <c r="J225" s="14"/>
      <c r="K225" s="14"/>
      <c r="L225" s="22"/>
      <c r="M225" s="47"/>
      <c r="N225" s="41"/>
      <c r="O225" s="22"/>
      <c r="P225" s="22"/>
      <c r="Q225" s="45"/>
      <c r="S225" s="50"/>
      <c r="T225" s="50"/>
      <c r="U225" s="50"/>
      <c r="V225" s="50"/>
    </row>
    <row r="226" spans="1:22" s="2" customFormat="1" hidden="1" outlineLevel="1" x14ac:dyDescent="0.35">
      <c r="A226" s="8"/>
      <c r="B226" s="9"/>
      <c r="C226" s="22"/>
      <c r="D226" s="22" t="s">
        <v>154</v>
      </c>
      <c r="E226" s="9"/>
      <c r="F226" s="10">
        <v>1.5780000000000001</v>
      </c>
      <c r="G226" s="10"/>
      <c r="H226" s="10"/>
      <c r="I226" s="10"/>
      <c r="J226" s="14"/>
      <c r="K226" s="14"/>
      <c r="L226" s="22"/>
      <c r="M226" s="47"/>
      <c r="N226" s="41"/>
      <c r="O226" s="22"/>
      <c r="P226" s="22"/>
      <c r="Q226" s="45"/>
      <c r="S226" s="50"/>
      <c r="T226" s="50"/>
      <c r="U226" s="50"/>
      <c r="V226" s="50"/>
    </row>
    <row r="227" spans="1:22" s="2" customFormat="1" hidden="1" outlineLevel="1" x14ac:dyDescent="0.35">
      <c r="A227" s="8"/>
      <c r="B227" s="9"/>
      <c r="C227" s="22"/>
      <c r="D227" s="22"/>
      <c r="E227" s="9"/>
      <c r="F227" s="10"/>
      <c r="G227" s="10"/>
      <c r="H227" s="10"/>
      <c r="I227" s="10"/>
      <c r="J227" s="14"/>
      <c r="K227" s="14"/>
      <c r="L227" s="22"/>
      <c r="M227" s="47"/>
      <c r="N227" s="41"/>
      <c r="O227" s="22"/>
      <c r="P227" s="22"/>
      <c r="Q227" s="45"/>
      <c r="S227" s="50"/>
      <c r="T227" s="50"/>
      <c r="U227" s="50"/>
      <c r="V227" s="50"/>
    </row>
    <row r="228" spans="1:22" s="2" customFormat="1" hidden="1" outlineLevel="1" x14ac:dyDescent="0.35">
      <c r="A228" s="8"/>
      <c r="B228" s="9"/>
      <c r="C228" s="22"/>
      <c r="D228" s="22"/>
      <c r="E228" s="9"/>
      <c r="F228" s="10">
        <f>+F225*F226</f>
        <v>3309.0660000000003</v>
      </c>
      <c r="G228" s="10"/>
      <c r="H228" s="10"/>
      <c r="I228" s="10"/>
      <c r="J228" s="14"/>
      <c r="K228" s="14"/>
      <c r="L228" s="22"/>
      <c r="M228" s="47"/>
      <c r="N228" s="41"/>
      <c r="O228" s="22"/>
      <c r="P228" s="22"/>
      <c r="Q228" s="45"/>
      <c r="S228" s="50"/>
      <c r="T228" s="50"/>
      <c r="U228" s="50"/>
      <c r="V228" s="50"/>
    </row>
    <row r="229" spans="1:22" collapsed="1" x14ac:dyDescent="0.35">
      <c r="A229" s="6"/>
      <c r="B229" s="56"/>
      <c r="C229" s="86"/>
      <c r="D229" s="86"/>
      <c r="E229" s="56"/>
      <c r="F229" s="6"/>
      <c r="G229" s="6"/>
      <c r="H229" s="6"/>
      <c r="I229" s="6"/>
      <c r="J229" s="14"/>
      <c r="K229" s="14"/>
      <c r="L229" s="21"/>
      <c r="M229" s="46"/>
      <c r="N229" s="40"/>
      <c r="O229" s="21"/>
      <c r="P229" s="21"/>
      <c r="Q229" s="45"/>
      <c r="S229" s="3"/>
      <c r="T229" s="3"/>
      <c r="U229" s="3"/>
      <c r="V229" s="3"/>
    </row>
    <row r="230" spans="1:22" x14ac:dyDescent="0.35">
      <c r="A230" s="6">
        <f>+A217+1</f>
        <v>20</v>
      </c>
      <c r="B230" s="57" t="s">
        <v>174</v>
      </c>
      <c r="C230" s="85"/>
      <c r="D230" s="85"/>
      <c r="E230" s="57"/>
      <c r="F230" s="58">
        <v>665</v>
      </c>
      <c r="G230" s="6" t="s">
        <v>154</v>
      </c>
      <c r="H230" s="6"/>
      <c r="I230" s="6" t="str">
        <f>+$Q$2</f>
        <v>??</v>
      </c>
      <c r="J230" s="14" t="e">
        <f>+F230*H230*I230</f>
        <v>#VALUE!</v>
      </c>
      <c r="K230" s="14"/>
      <c r="L230" s="21"/>
      <c r="M230" s="46">
        <v>2.5000000000000001E-2</v>
      </c>
      <c r="N230" s="40">
        <f>+L230*M230</f>
        <v>0</v>
      </c>
      <c r="O230" s="21"/>
      <c r="P230" s="21"/>
      <c r="Q230" s="45">
        <f>+(F230*L230)+(F230*N230)+O230+P230</f>
        <v>0</v>
      </c>
      <c r="S230" s="53" t="e">
        <f>+T230/F230</f>
        <v>#VALUE!</v>
      </c>
      <c r="T230" s="49" t="e">
        <f>+J230+K230+Q230</f>
        <v>#VALUE!</v>
      </c>
      <c r="U230" s="49"/>
      <c r="V230" s="53">
        <f>+F230*H230</f>
        <v>0</v>
      </c>
    </row>
    <row r="231" spans="1:22" s="2" customFormat="1" hidden="1" outlineLevel="1" x14ac:dyDescent="0.35">
      <c r="A231" s="8"/>
      <c r="B231" s="9"/>
      <c r="C231" s="22"/>
      <c r="D231" s="22"/>
      <c r="E231" s="9"/>
      <c r="F231" s="10">
        <f>+C231*D231*E231</f>
        <v>0</v>
      </c>
      <c r="G231" s="10"/>
      <c r="H231" s="10"/>
      <c r="I231" s="10"/>
      <c r="J231" s="14"/>
      <c r="K231" s="14"/>
      <c r="L231" s="22"/>
      <c r="M231" s="47"/>
      <c r="N231" s="41"/>
      <c r="O231" s="22"/>
      <c r="P231" s="22"/>
      <c r="Q231" s="45"/>
      <c r="S231" s="50"/>
      <c r="T231" s="50"/>
      <c r="U231" s="50"/>
      <c r="V231" s="50"/>
    </row>
    <row r="232" spans="1:22" s="2" customFormat="1" hidden="1" outlineLevel="1" x14ac:dyDescent="0.35">
      <c r="A232" s="8"/>
      <c r="B232" s="9"/>
      <c r="C232" s="22">
        <v>23.5</v>
      </c>
      <c r="D232" s="22">
        <v>2</v>
      </c>
      <c r="E232" s="9">
        <v>3</v>
      </c>
      <c r="F232" s="10">
        <f t="shared" ref="F232:F235" si="19">+C232*D232*E232</f>
        <v>141</v>
      </c>
      <c r="G232" s="10"/>
      <c r="H232" s="10"/>
      <c r="I232" s="10"/>
      <c r="J232" s="14"/>
      <c r="K232" s="14"/>
      <c r="L232" s="22"/>
      <c r="M232" s="47"/>
      <c r="N232" s="41"/>
      <c r="O232" s="22"/>
      <c r="P232" s="22"/>
      <c r="Q232" s="45"/>
      <c r="S232" s="50"/>
      <c r="T232" s="50"/>
      <c r="U232" s="50"/>
      <c r="V232" s="50"/>
    </row>
    <row r="233" spans="1:22" s="2" customFormat="1" hidden="1" outlineLevel="1" x14ac:dyDescent="0.35">
      <c r="A233" s="8"/>
      <c r="B233" s="9" t="s">
        <v>160</v>
      </c>
      <c r="C233" s="22">
        <v>3</v>
      </c>
      <c r="D233" s="22">
        <v>2</v>
      </c>
      <c r="E233" s="9">
        <v>3</v>
      </c>
      <c r="F233" s="10">
        <f t="shared" si="19"/>
        <v>18</v>
      </c>
      <c r="G233" s="10"/>
      <c r="H233" s="10"/>
      <c r="I233" s="10"/>
      <c r="J233" s="14"/>
      <c r="K233" s="14"/>
      <c r="L233" s="22"/>
      <c r="M233" s="47"/>
      <c r="N233" s="41"/>
      <c r="O233" s="22"/>
      <c r="P233" s="22"/>
      <c r="Q233" s="45"/>
      <c r="S233" s="50"/>
      <c r="T233" s="50"/>
      <c r="U233" s="50"/>
      <c r="V233" s="50"/>
    </row>
    <row r="234" spans="1:22" s="2" customFormat="1" hidden="1" outlineLevel="1" x14ac:dyDescent="0.35">
      <c r="A234" s="8"/>
      <c r="B234" s="9"/>
      <c r="C234" s="22">
        <v>1</v>
      </c>
      <c r="D234" s="22">
        <f>23.5/0.2+1</f>
        <v>118.5</v>
      </c>
      <c r="E234" s="9">
        <v>3</v>
      </c>
      <c r="F234" s="10">
        <f t="shared" si="19"/>
        <v>355.5</v>
      </c>
      <c r="G234" s="10"/>
      <c r="H234" s="10"/>
      <c r="I234" s="10"/>
      <c r="J234" s="14"/>
      <c r="K234" s="14"/>
      <c r="L234" s="22"/>
      <c r="M234" s="47"/>
      <c r="N234" s="41"/>
      <c r="O234" s="22"/>
      <c r="P234" s="22"/>
      <c r="Q234" s="45"/>
      <c r="S234" s="50"/>
      <c r="T234" s="50"/>
      <c r="U234" s="50"/>
      <c r="V234" s="50"/>
    </row>
    <row r="235" spans="1:22" s="2" customFormat="1" hidden="1" outlineLevel="1" x14ac:dyDescent="0.35">
      <c r="A235" s="8"/>
      <c r="B235" s="9"/>
      <c r="C235" s="22"/>
      <c r="D235" s="22"/>
      <c r="E235" s="9">
        <v>1</v>
      </c>
      <c r="F235" s="10">
        <f t="shared" si="19"/>
        <v>0</v>
      </c>
      <c r="G235" s="10"/>
      <c r="H235" s="10"/>
      <c r="I235" s="10"/>
      <c r="J235" s="14"/>
      <c r="K235" s="14"/>
      <c r="L235" s="22"/>
      <c r="M235" s="47"/>
      <c r="N235" s="41"/>
      <c r="O235" s="22"/>
      <c r="P235" s="22"/>
      <c r="Q235" s="45"/>
      <c r="S235" s="50"/>
      <c r="T235" s="50"/>
      <c r="U235" s="50"/>
      <c r="V235" s="50"/>
    </row>
    <row r="236" spans="1:22" s="2" customFormat="1" hidden="1" outlineLevel="1" x14ac:dyDescent="0.35">
      <c r="A236" s="8"/>
      <c r="B236" s="9"/>
      <c r="C236" s="22"/>
      <c r="D236" s="22"/>
      <c r="E236" s="9"/>
      <c r="F236" s="10"/>
      <c r="G236" s="10"/>
      <c r="H236" s="10"/>
      <c r="I236" s="10"/>
      <c r="J236" s="14"/>
      <c r="K236" s="14"/>
      <c r="L236" s="22"/>
      <c r="M236" s="47"/>
      <c r="N236" s="41"/>
      <c r="O236" s="22"/>
      <c r="P236" s="22"/>
      <c r="Q236" s="45"/>
      <c r="S236" s="50"/>
      <c r="T236" s="50"/>
      <c r="U236" s="50"/>
      <c r="V236" s="50"/>
    </row>
    <row r="237" spans="1:22" s="2" customFormat="1" hidden="1" outlineLevel="1" x14ac:dyDescent="0.35">
      <c r="A237" s="8"/>
      <c r="B237" s="9"/>
      <c r="C237" s="22"/>
      <c r="D237" s="22"/>
      <c r="E237" s="9"/>
      <c r="F237" s="10">
        <f>SUM(F231:F236)</f>
        <v>514.5</v>
      </c>
      <c r="G237" s="10"/>
      <c r="H237" s="10"/>
      <c r="I237" s="10"/>
      <c r="J237" s="14"/>
      <c r="K237" s="14"/>
      <c r="L237" s="22"/>
      <c r="M237" s="47"/>
      <c r="N237" s="41"/>
      <c r="O237" s="22"/>
      <c r="P237" s="22"/>
      <c r="Q237" s="45"/>
      <c r="S237" s="50"/>
      <c r="T237" s="50"/>
      <c r="U237" s="50"/>
      <c r="V237" s="50"/>
    </row>
    <row r="238" spans="1:22" s="2" customFormat="1" hidden="1" outlineLevel="1" x14ac:dyDescent="0.35">
      <c r="A238" s="8"/>
      <c r="B238" s="9"/>
      <c r="C238" s="22"/>
      <c r="D238" s="22" t="s">
        <v>154</v>
      </c>
      <c r="E238" s="9"/>
      <c r="F238" s="10">
        <v>0.88800000000000001</v>
      </c>
      <c r="G238" s="10"/>
      <c r="H238" s="10"/>
      <c r="I238" s="10"/>
      <c r="J238" s="14"/>
      <c r="K238" s="14"/>
      <c r="L238" s="22"/>
      <c r="M238" s="47"/>
      <c r="N238" s="41"/>
      <c r="O238" s="22"/>
      <c r="P238" s="22"/>
      <c r="Q238" s="45"/>
      <c r="S238" s="50"/>
      <c r="T238" s="50"/>
      <c r="U238" s="50"/>
      <c r="V238" s="50"/>
    </row>
    <row r="239" spans="1:22" s="2" customFormat="1" hidden="1" outlineLevel="1" x14ac:dyDescent="0.35">
      <c r="A239" s="8"/>
      <c r="B239" s="9"/>
      <c r="C239" s="22"/>
      <c r="D239" s="22"/>
      <c r="E239" s="9"/>
      <c r="F239" s="10"/>
      <c r="G239" s="10"/>
      <c r="H239" s="10"/>
      <c r="I239" s="10"/>
      <c r="J239" s="14"/>
      <c r="K239" s="14"/>
      <c r="L239" s="22"/>
      <c r="M239" s="47"/>
      <c r="N239" s="41"/>
      <c r="O239" s="22"/>
      <c r="P239" s="22"/>
      <c r="Q239" s="45"/>
      <c r="S239" s="50"/>
      <c r="T239" s="50"/>
      <c r="U239" s="50"/>
      <c r="V239" s="50"/>
    </row>
    <row r="240" spans="1:22" s="2" customFormat="1" hidden="1" outlineLevel="1" x14ac:dyDescent="0.35">
      <c r="A240" s="8"/>
      <c r="B240" s="9"/>
      <c r="C240" s="22"/>
      <c r="D240" s="22"/>
      <c r="E240" s="9"/>
      <c r="F240" s="10">
        <f>+F237*F238</f>
        <v>456.87600000000003</v>
      </c>
      <c r="G240" s="10"/>
      <c r="H240" s="10"/>
      <c r="I240" s="10"/>
      <c r="J240" s="14"/>
      <c r="K240" s="14"/>
      <c r="L240" s="22"/>
      <c r="M240" s="47"/>
      <c r="N240" s="41"/>
      <c r="O240" s="22"/>
      <c r="P240" s="22"/>
      <c r="Q240" s="45"/>
      <c r="S240" s="50"/>
      <c r="T240" s="50"/>
      <c r="U240" s="50"/>
      <c r="V240" s="50"/>
    </row>
    <row r="241" spans="1:22" collapsed="1" x14ac:dyDescent="0.35">
      <c r="A241" s="6"/>
      <c r="B241" s="56"/>
      <c r="C241" s="86"/>
      <c r="D241" s="86"/>
      <c r="E241" s="56"/>
      <c r="F241" s="6"/>
      <c r="G241" s="6"/>
      <c r="H241" s="6"/>
      <c r="I241" s="6"/>
      <c r="J241" s="14"/>
      <c r="K241" s="14"/>
      <c r="L241" s="21"/>
      <c r="M241" s="46"/>
      <c r="N241" s="40"/>
      <c r="O241" s="21"/>
      <c r="P241" s="21"/>
      <c r="Q241" s="45"/>
      <c r="S241" s="3"/>
      <c r="T241" s="3"/>
      <c r="U241" s="3"/>
      <c r="V241" s="3"/>
    </row>
    <row r="242" spans="1:22" x14ac:dyDescent="0.35">
      <c r="A242" s="6">
        <f>+A230+1</f>
        <v>21</v>
      </c>
      <c r="B242" s="57" t="s">
        <v>175</v>
      </c>
      <c r="C242" s="85"/>
      <c r="D242" s="85"/>
      <c r="E242" s="57"/>
      <c r="F242" s="58">
        <v>223</v>
      </c>
      <c r="G242" s="6" t="s">
        <v>154</v>
      </c>
      <c r="H242" s="6"/>
      <c r="I242" s="6" t="str">
        <f>+$Q$2</f>
        <v>??</v>
      </c>
      <c r="J242" s="14" t="e">
        <f>+F242*H242*I242</f>
        <v>#VALUE!</v>
      </c>
      <c r="K242" s="14"/>
      <c r="L242" s="21"/>
      <c r="M242" s="46">
        <v>2.5000000000000001E-2</v>
      </c>
      <c r="N242" s="40">
        <f>+L242*M242</f>
        <v>0</v>
      </c>
      <c r="O242" s="21"/>
      <c r="P242" s="21"/>
      <c r="Q242" s="45">
        <f>+(F242*L242)+(F242*N242)+O242+P242</f>
        <v>0</v>
      </c>
      <c r="S242" s="53" t="e">
        <f>+T242/F242</f>
        <v>#VALUE!</v>
      </c>
      <c r="T242" s="49" t="e">
        <f>+J242+K242+Q242</f>
        <v>#VALUE!</v>
      </c>
      <c r="U242" s="49"/>
      <c r="V242" s="53">
        <f>+F242*H242</f>
        <v>0</v>
      </c>
    </row>
    <row r="243" spans="1:22" s="2" customFormat="1" hidden="1" outlineLevel="1" x14ac:dyDescent="0.35">
      <c r="A243" s="8"/>
      <c r="B243" s="9"/>
      <c r="C243" s="22"/>
      <c r="D243" s="22"/>
      <c r="E243" s="9"/>
      <c r="F243" s="10">
        <f>+C243*D243*E243</f>
        <v>0</v>
      </c>
      <c r="G243" s="10"/>
      <c r="H243" s="10"/>
      <c r="I243" s="10"/>
      <c r="J243" s="14"/>
      <c r="K243" s="14"/>
      <c r="L243" s="22"/>
      <c r="M243" s="47"/>
      <c r="N243" s="41"/>
      <c r="O243" s="22"/>
      <c r="P243" s="22"/>
      <c r="Q243" s="45"/>
      <c r="S243" s="50"/>
      <c r="T243" s="50"/>
      <c r="U243" s="50"/>
      <c r="V243" s="50"/>
    </row>
    <row r="244" spans="1:22" s="2" customFormat="1" hidden="1" outlineLevel="1" x14ac:dyDescent="0.35">
      <c r="A244" s="8"/>
      <c r="B244" s="9"/>
      <c r="C244" s="22">
        <v>3.1</v>
      </c>
      <c r="D244" s="22">
        <v>2</v>
      </c>
      <c r="E244" s="9">
        <v>12</v>
      </c>
      <c r="F244" s="10">
        <f t="shared" ref="F244:F247" si="20">+C244*D244*E244</f>
        <v>74.400000000000006</v>
      </c>
      <c r="G244" s="10"/>
      <c r="H244" s="10"/>
      <c r="I244" s="10"/>
      <c r="J244" s="14"/>
      <c r="K244" s="14"/>
      <c r="L244" s="22"/>
      <c r="M244" s="47"/>
      <c r="N244" s="41"/>
      <c r="O244" s="22"/>
      <c r="P244" s="22"/>
      <c r="Q244" s="45"/>
      <c r="S244" s="50"/>
      <c r="T244" s="50"/>
      <c r="U244" s="50"/>
      <c r="V244" s="50"/>
    </row>
    <row r="245" spans="1:22" s="2" customFormat="1" hidden="1" outlineLevel="1" x14ac:dyDescent="0.35">
      <c r="A245" s="8"/>
      <c r="B245" s="9"/>
      <c r="C245" s="22"/>
      <c r="D245" s="22"/>
      <c r="E245" s="9">
        <v>3</v>
      </c>
      <c r="F245" s="10">
        <f t="shared" si="20"/>
        <v>0</v>
      </c>
      <c r="G245" s="10"/>
      <c r="H245" s="10"/>
      <c r="I245" s="10"/>
      <c r="J245" s="14"/>
      <c r="K245" s="14"/>
      <c r="L245" s="22"/>
      <c r="M245" s="47"/>
      <c r="N245" s="41"/>
      <c r="O245" s="22"/>
      <c r="P245" s="22"/>
      <c r="Q245" s="45"/>
      <c r="S245" s="50"/>
      <c r="T245" s="50"/>
      <c r="U245" s="50"/>
      <c r="V245" s="50"/>
    </row>
    <row r="246" spans="1:22" s="2" customFormat="1" hidden="1" outlineLevel="1" x14ac:dyDescent="0.35">
      <c r="A246" s="8"/>
      <c r="B246" s="9"/>
      <c r="C246" s="22"/>
      <c r="D246" s="22"/>
      <c r="E246" s="9">
        <v>3</v>
      </c>
      <c r="F246" s="10">
        <f t="shared" si="20"/>
        <v>0</v>
      </c>
      <c r="G246" s="10"/>
      <c r="H246" s="10"/>
      <c r="I246" s="10"/>
      <c r="J246" s="14"/>
      <c r="K246" s="14"/>
      <c r="L246" s="22"/>
      <c r="M246" s="47"/>
      <c r="N246" s="41"/>
      <c r="O246" s="22"/>
      <c r="P246" s="22"/>
      <c r="Q246" s="45"/>
      <c r="S246" s="50"/>
      <c r="T246" s="50"/>
      <c r="U246" s="50"/>
      <c r="V246" s="50"/>
    </row>
    <row r="247" spans="1:22" s="2" customFormat="1" hidden="1" outlineLevel="1" x14ac:dyDescent="0.35">
      <c r="A247" s="8"/>
      <c r="B247" s="9"/>
      <c r="C247" s="22"/>
      <c r="D247" s="22"/>
      <c r="E247" s="9">
        <v>1</v>
      </c>
      <c r="F247" s="10">
        <f t="shared" si="20"/>
        <v>0</v>
      </c>
      <c r="G247" s="10"/>
      <c r="H247" s="10"/>
      <c r="I247" s="10"/>
      <c r="J247" s="14"/>
      <c r="K247" s="14"/>
      <c r="L247" s="22"/>
      <c r="M247" s="47"/>
      <c r="N247" s="41"/>
      <c r="O247" s="22"/>
      <c r="P247" s="22"/>
      <c r="Q247" s="45"/>
      <c r="S247" s="50"/>
      <c r="T247" s="50"/>
      <c r="U247" s="50"/>
      <c r="V247" s="50"/>
    </row>
    <row r="248" spans="1:22" s="2" customFormat="1" hidden="1" outlineLevel="1" x14ac:dyDescent="0.35">
      <c r="A248" s="8"/>
      <c r="B248" s="9"/>
      <c r="C248" s="22"/>
      <c r="D248" s="22"/>
      <c r="E248" s="9"/>
      <c r="F248" s="10"/>
      <c r="G248" s="10"/>
      <c r="H248" s="10"/>
      <c r="I248" s="10"/>
      <c r="J248" s="14"/>
      <c r="K248" s="14"/>
      <c r="L248" s="22"/>
      <c r="M248" s="47"/>
      <c r="N248" s="41"/>
      <c r="O248" s="22"/>
      <c r="P248" s="22"/>
      <c r="Q248" s="45"/>
      <c r="S248" s="50"/>
      <c r="T248" s="50"/>
      <c r="U248" s="50"/>
      <c r="V248" s="50"/>
    </row>
    <row r="249" spans="1:22" s="2" customFormat="1" hidden="1" outlineLevel="1" x14ac:dyDescent="0.35">
      <c r="A249" s="8"/>
      <c r="B249" s="9"/>
      <c r="C249" s="22"/>
      <c r="D249" s="22"/>
      <c r="E249" s="9"/>
      <c r="F249" s="10">
        <f>SUM(F243:F248)</f>
        <v>74.400000000000006</v>
      </c>
      <c r="G249" s="10"/>
      <c r="H249" s="10"/>
      <c r="I249" s="10"/>
      <c r="J249" s="14"/>
      <c r="K249" s="14"/>
      <c r="L249" s="22"/>
      <c r="M249" s="47"/>
      <c r="N249" s="41"/>
      <c r="O249" s="22"/>
      <c r="P249" s="22"/>
      <c r="Q249" s="45"/>
      <c r="S249" s="50"/>
      <c r="T249" s="50"/>
      <c r="U249" s="50"/>
      <c r="V249" s="50"/>
    </row>
    <row r="250" spans="1:22" s="2" customFormat="1" hidden="1" outlineLevel="1" x14ac:dyDescent="0.35">
      <c r="A250" s="8"/>
      <c r="B250" s="9"/>
      <c r="C250" s="22"/>
      <c r="D250" s="22" t="s">
        <v>154</v>
      </c>
      <c r="E250" s="9"/>
      <c r="F250" s="10">
        <v>1.5780000000000001</v>
      </c>
      <c r="G250" s="10"/>
      <c r="H250" s="10"/>
      <c r="I250" s="10"/>
      <c r="J250" s="14"/>
      <c r="K250" s="14"/>
      <c r="L250" s="22"/>
      <c r="M250" s="47"/>
      <c r="N250" s="41"/>
      <c r="O250" s="22"/>
      <c r="P250" s="22"/>
      <c r="Q250" s="45"/>
      <c r="S250" s="50"/>
      <c r="T250" s="50"/>
      <c r="U250" s="50"/>
      <c r="V250" s="50"/>
    </row>
    <row r="251" spans="1:22" s="2" customFormat="1" hidden="1" outlineLevel="1" x14ac:dyDescent="0.35">
      <c r="A251" s="8"/>
      <c r="B251" s="9"/>
      <c r="C251" s="22"/>
      <c r="D251" s="22"/>
      <c r="E251" s="9"/>
      <c r="F251" s="10"/>
      <c r="G251" s="10"/>
      <c r="H251" s="10"/>
      <c r="I251" s="10"/>
      <c r="J251" s="14"/>
      <c r="K251" s="14"/>
      <c r="L251" s="22"/>
      <c r="M251" s="47"/>
      <c r="N251" s="41"/>
      <c r="O251" s="22"/>
      <c r="P251" s="22"/>
      <c r="Q251" s="45"/>
      <c r="S251" s="50"/>
      <c r="T251" s="50"/>
      <c r="U251" s="50"/>
      <c r="V251" s="50"/>
    </row>
    <row r="252" spans="1:22" s="2" customFormat="1" hidden="1" outlineLevel="1" x14ac:dyDescent="0.35">
      <c r="A252" s="8"/>
      <c r="B252" s="9"/>
      <c r="C252" s="22"/>
      <c r="D252" s="22"/>
      <c r="E252" s="9"/>
      <c r="F252" s="10">
        <f>+F249*F250</f>
        <v>117.40320000000001</v>
      </c>
      <c r="G252" s="10"/>
      <c r="H252" s="10"/>
      <c r="I252" s="10"/>
      <c r="J252" s="14"/>
      <c r="K252" s="14"/>
      <c r="L252" s="22"/>
      <c r="M252" s="47"/>
      <c r="N252" s="41"/>
      <c r="O252" s="22"/>
      <c r="P252" s="22"/>
      <c r="Q252" s="45"/>
      <c r="S252" s="50"/>
      <c r="T252" s="50"/>
      <c r="U252" s="50"/>
      <c r="V252" s="50"/>
    </row>
    <row r="253" spans="1:22" collapsed="1" x14ac:dyDescent="0.35">
      <c r="A253" s="6"/>
      <c r="B253" s="56"/>
      <c r="C253" s="86"/>
      <c r="D253" s="86"/>
      <c r="E253" s="56"/>
      <c r="F253" s="6"/>
      <c r="G253" s="6"/>
      <c r="H253" s="6"/>
      <c r="I253" s="6"/>
      <c r="J253" s="14"/>
      <c r="K253" s="14"/>
      <c r="L253" s="21"/>
      <c r="M253" s="46"/>
      <c r="N253" s="40"/>
      <c r="O253" s="21"/>
      <c r="P253" s="21"/>
      <c r="Q253" s="45"/>
      <c r="S253" s="3"/>
      <c r="T253" s="3"/>
      <c r="U253" s="3"/>
      <c r="V253" s="3"/>
    </row>
    <row r="254" spans="1:22" x14ac:dyDescent="0.35">
      <c r="A254" s="6"/>
      <c r="B254" s="56"/>
      <c r="C254" s="86"/>
      <c r="D254" s="86"/>
      <c r="E254" s="56"/>
      <c r="F254" s="6"/>
      <c r="G254" s="6"/>
      <c r="H254" s="6"/>
      <c r="I254" s="6"/>
      <c r="J254" s="14"/>
      <c r="K254" s="14"/>
      <c r="L254" s="21"/>
      <c r="M254" s="46"/>
      <c r="N254" s="40"/>
      <c r="O254" s="21"/>
      <c r="P254" s="21"/>
      <c r="Q254" s="45"/>
      <c r="S254" s="3"/>
      <c r="T254" s="3"/>
      <c r="U254" s="3"/>
      <c r="V254" s="3"/>
    </row>
    <row r="255" spans="1:22" x14ac:dyDescent="0.35">
      <c r="A255" s="6"/>
      <c r="B255" s="56"/>
      <c r="C255" s="86"/>
      <c r="D255" s="86"/>
      <c r="E255" s="56"/>
      <c r="F255" s="6"/>
      <c r="G255" s="6"/>
      <c r="H255" s="6"/>
      <c r="I255" s="6"/>
      <c r="J255" s="14"/>
      <c r="K255" s="14"/>
      <c r="L255" s="21"/>
      <c r="M255" s="46"/>
      <c r="N255" s="40"/>
      <c r="O255" s="21"/>
      <c r="P255" s="21"/>
      <c r="Q255" s="45"/>
      <c r="S255" s="3"/>
      <c r="T255" s="3"/>
      <c r="U255" s="3"/>
      <c r="V255" s="3"/>
    </row>
    <row r="256" spans="1:22" x14ac:dyDescent="0.35">
      <c r="A256" s="6"/>
      <c r="B256" s="56"/>
      <c r="C256" s="86"/>
      <c r="D256" s="86"/>
      <c r="E256" s="56"/>
      <c r="F256" s="6"/>
      <c r="G256" s="6"/>
      <c r="H256" s="6"/>
      <c r="I256" s="6"/>
      <c r="J256" s="14"/>
      <c r="K256" s="14"/>
      <c r="L256" s="21"/>
      <c r="M256" s="46"/>
      <c r="N256" s="40"/>
      <c r="O256" s="21"/>
      <c r="P256" s="21"/>
      <c r="Q256" s="45"/>
      <c r="S256" s="3"/>
      <c r="T256" s="3"/>
      <c r="U256" s="3"/>
      <c r="V256" s="3"/>
    </row>
    <row r="257" spans="1:22" x14ac:dyDescent="0.35">
      <c r="A257" s="6"/>
      <c r="B257" s="56"/>
      <c r="C257" s="86"/>
      <c r="D257" s="86"/>
      <c r="E257" s="56"/>
      <c r="F257" s="6"/>
      <c r="G257" s="6"/>
      <c r="H257" s="6"/>
      <c r="I257" s="6"/>
      <c r="J257" s="14"/>
      <c r="K257" s="14"/>
      <c r="L257" s="21"/>
      <c r="M257" s="46"/>
      <c r="N257" s="40"/>
      <c r="O257" s="21"/>
      <c r="P257" s="21"/>
      <c r="Q257" s="45"/>
      <c r="S257" s="3"/>
      <c r="T257" s="3"/>
      <c r="U257" s="3"/>
      <c r="V257" s="3"/>
    </row>
    <row r="258" spans="1:22" x14ac:dyDescent="0.35">
      <c r="A258" s="6"/>
      <c r="B258" s="56"/>
      <c r="C258" s="86"/>
      <c r="D258" s="86"/>
      <c r="E258" s="56"/>
      <c r="F258" s="6"/>
      <c r="G258" s="6"/>
      <c r="H258" s="6"/>
      <c r="I258" s="6"/>
      <c r="J258" s="14"/>
      <c r="K258" s="14"/>
      <c r="L258" s="21"/>
      <c r="M258" s="46"/>
      <c r="N258" s="40"/>
      <c r="O258" s="21"/>
      <c r="P258" s="21"/>
      <c r="Q258" s="45"/>
      <c r="S258" s="3"/>
      <c r="T258" s="3"/>
      <c r="U258" s="3"/>
      <c r="V258" s="3"/>
    </row>
    <row r="259" spans="1:22" x14ac:dyDescent="0.35">
      <c r="A259" s="6"/>
      <c r="B259" s="56"/>
      <c r="C259" s="86"/>
      <c r="D259" s="86"/>
      <c r="E259" s="56"/>
      <c r="F259" s="6"/>
      <c r="G259" s="6"/>
      <c r="H259" s="6"/>
      <c r="I259" s="6"/>
      <c r="J259" s="14"/>
      <c r="K259" s="14"/>
      <c r="L259" s="21"/>
      <c r="M259" s="46"/>
      <c r="N259" s="40"/>
      <c r="O259" s="21"/>
      <c r="P259" s="21"/>
      <c r="Q259" s="45"/>
      <c r="S259" s="3"/>
      <c r="T259" s="3"/>
      <c r="U259" s="3"/>
      <c r="V259" s="3"/>
    </row>
    <row r="260" spans="1:22" x14ac:dyDescent="0.35">
      <c r="A260" s="6"/>
      <c r="B260" s="56"/>
      <c r="C260" s="86"/>
      <c r="D260" s="86"/>
      <c r="E260" s="56"/>
      <c r="F260" s="6"/>
      <c r="G260" s="6"/>
      <c r="H260" s="6"/>
      <c r="I260" s="6"/>
      <c r="J260" s="14"/>
      <c r="K260" s="14"/>
      <c r="L260" s="21"/>
      <c r="M260" s="46"/>
      <c r="N260" s="40"/>
      <c r="O260" s="21"/>
      <c r="P260" s="21"/>
      <c r="Q260" s="45"/>
      <c r="S260" s="3"/>
      <c r="T260" s="3"/>
      <c r="U260" s="3"/>
      <c r="V260" s="3"/>
    </row>
    <row r="261" spans="1:22" s="15" customFormat="1" x14ac:dyDescent="0.35">
      <c r="A261" s="12"/>
      <c r="B261" s="13"/>
      <c r="C261" s="87"/>
      <c r="D261" s="87"/>
      <c r="E261" s="13"/>
      <c r="F261" s="12"/>
      <c r="G261" s="12"/>
      <c r="H261" s="12"/>
      <c r="I261" s="12"/>
      <c r="J261" s="14" t="e">
        <f>SUM(J7:J260)</f>
        <v>#VALUE!</v>
      </c>
      <c r="K261" s="14">
        <f>SUM(K7:K260)</f>
        <v>0</v>
      </c>
      <c r="L261" s="23"/>
      <c r="M261" s="23"/>
      <c r="N261" s="23"/>
      <c r="O261" s="23"/>
      <c r="P261" s="23"/>
      <c r="Q261" s="23">
        <f>SUM(Q7:Q260)</f>
        <v>0</v>
      </c>
      <c r="S261" s="51"/>
      <c r="T261" s="54" t="e">
        <f t="shared" ref="T261" si="21">SUM(T7:T260)</f>
        <v>#VALUE!</v>
      </c>
      <c r="U261" s="54"/>
      <c r="V261" s="51"/>
    </row>
    <row r="262" spans="1:22" x14ac:dyDescent="0.35">
      <c r="A262" s="6"/>
      <c r="B262" s="7"/>
      <c r="C262" s="88"/>
      <c r="D262" s="88"/>
      <c r="E262" s="7"/>
      <c r="F262" s="6"/>
      <c r="G262" s="6"/>
      <c r="H262" s="6"/>
      <c r="I262" s="6"/>
      <c r="J262" s="14"/>
      <c r="K262" s="43"/>
      <c r="L262" s="26"/>
      <c r="M262" s="26"/>
      <c r="N262" s="26"/>
      <c r="O262" s="26"/>
      <c r="P262" s="26"/>
      <c r="Q262" s="23"/>
      <c r="S262" s="3"/>
      <c r="T262" s="3"/>
      <c r="U262" s="3"/>
      <c r="V262" s="3"/>
    </row>
    <row r="263" spans="1:22" s="19" customFormat="1" x14ac:dyDescent="0.35">
      <c r="A263" s="16"/>
      <c r="B263" s="17" t="s">
        <v>14</v>
      </c>
      <c r="C263" s="89"/>
      <c r="D263" s="89"/>
      <c r="E263" s="17"/>
      <c r="F263" s="20"/>
      <c r="G263" s="16"/>
      <c r="H263" s="16"/>
      <c r="I263" s="16"/>
      <c r="J263" s="18"/>
      <c r="K263" s="18"/>
      <c r="L263" s="27"/>
      <c r="M263" s="27"/>
      <c r="N263" s="27"/>
      <c r="O263" s="27"/>
      <c r="P263" s="27"/>
      <c r="Q263" s="24" t="e">
        <f>+J261+K261+Q261</f>
        <v>#VALUE!</v>
      </c>
      <c r="S263" s="52"/>
      <c r="T263" s="52"/>
      <c r="U263" s="52"/>
      <c r="V263" s="52"/>
    </row>
    <row r="264" spans="1:22" x14ac:dyDescent="0.35">
      <c r="A264" s="1"/>
      <c r="F264" s="1"/>
      <c r="G264" s="1"/>
      <c r="H264" s="1"/>
      <c r="I264" s="1"/>
      <c r="J264" s="4"/>
      <c r="K264" s="4"/>
      <c r="L264" s="28"/>
      <c r="M264" s="28"/>
      <c r="N264" s="28"/>
      <c r="O264" s="28"/>
      <c r="P264" s="28"/>
      <c r="Q264" s="25"/>
      <c r="S264" s="3"/>
      <c r="T264" s="3"/>
      <c r="U264" s="3"/>
      <c r="V264" s="3"/>
    </row>
    <row r="330" spans="12:12" x14ac:dyDescent="0.35">
      <c r="L330" s="21">
        <v>3.45</v>
      </c>
    </row>
    <row r="331" spans="12:12" x14ac:dyDescent="0.35">
      <c r="L331" s="22"/>
    </row>
    <row r="332" spans="12:12" x14ac:dyDescent="0.35">
      <c r="L332" s="22"/>
    </row>
    <row r="333" spans="12:12" x14ac:dyDescent="0.35">
      <c r="L333" s="22"/>
    </row>
    <row r="334" spans="12:12" x14ac:dyDescent="0.35">
      <c r="L334" s="22"/>
    </row>
    <row r="335" spans="12:12" x14ac:dyDescent="0.35">
      <c r="L335" s="22"/>
    </row>
    <row r="336" spans="12:12" x14ac:dyDescent="0.35">
      <c r="L336" s="22"/>
    </row>
    <row r="337" spans="12:12" x14ac:dyDescent="0.35">
      <c r="L337" s="22"/>
    </row>
    <row r="338" spans="12:12" x14ac:dyDescent="0.35">
      <c r="L338" s="22"/>
    </row>
    <row r="339" spans="12:12" x14ac:dyDescent="0.35">
      <c r="L339" s="22"/>
    </row>
    <row r="340" spans="12:12" x14ac:dyDescent="0.35">
      <c r="L340" s="22"/>
    </row>
    <row r="341" spans="12:12" x14ac:dyDescent="0.35">
      <c r="L341" s="21"/>
    </row>
    <row r="342" spans="12:12" x14ac:dyDescent="0.35">
      <c r="L342" s="21">
        <v>3.45</v>
      </c>
    </row>
    <row r="343" spans="12:12" x14ac:dyDescent="0.35">
      <c r="L343" s="22"/>
    </row>
    <row r="344" spans="12:12" x14ac:dyDescent="0.35">
      <c r="L344" s="22"/>
    </row>
    <row r="345" spans="12:12" x14ac:dyDescent="0.35">
      <c r="L345" s="22"/>
    </row>
    <row r="346" spans="12:12" x14ac:dyDescent="0.35">
      <c r="L346" s="22"/>
    </row>
    <row r="347" spans="12:12" x14ac:dyDescent="0.35">
      <c r="L347" s="22"/>
    </row>
    <row r="348" spans="12:12" x14ac:dyDescent="0.35">
      <c r="L348" s="22"/>
    </row>
    <row r="349" spans="12:12" x14ac:dyDescent="0.35">
      <c r="L349" s="22"/>
    </row>
    <row r="350" spans="12:12" x14ac:dyDescent="0.35">
      <c r="L350" s="22"/>
    </row>
    <row r="351" spans="12:12" x14ac:dyDescent="0.35">
      <c r="L351" s="21"/>
    </row>
    <row r="352" spans="12:12" x14ac:dyDescent="0.35">
      <c r="L352" s="21">
        <v>3.75</v>
      </c>
    </row>
    <row r="353" spans="12:12" x14ac:dyDescent="0.35">
      <c r="L353" s="22"/>
    </row>
    <row r="354" spans="12:12" x14ac:dyDescent="0.35">
      <c r="L354" s="22"/>
    </row>
    <row r="355" spans="12:12" x14ac:dyDescent="0.35">
      <c r="L355" s="22"/>
    </row>
    <row r="356" spans="12:12" x14ac:dyDescent="0.35">
      <c r="L356" s="22"/>
    </row>
    <row r="357" spans="12:12" x14ac:dyDescent="0.35">
      <c r="L357" s="22"/>
    </row>
    <row r="358" spans="12:12" x14ac:dyDescent="0.35">
      <c r="L358" s="22"/>
    </row>
    <row r="359" spans="12:12" x14ac:dyDescent="0.35">
      <c r="L359" s="22"/>
    </row>
    <row r="360" spans="12:12" x14ac:dyDescent="0.35">
      <c r="L360" s="21"/>
    </row>
    <row r="361" spans="12:12" x14ac:dyDescent="0.35">
      <c r="L361" s="21">
        <v>3.45</v>
      </c>
    </row>
    <row r="362" spans="12:12" x14ac:dyDescent="0.35">
      <c r="L362" s="22"/>
    </row>
    <row r="363" spans="12:12" x14ac:dyDescent="0.35">
      <c r="L363" s="22"/>
    </row>
    <row r="364" spans="12:12" x14ac:dyDescent="0.35">
      <c r="L364" s="22"/>
    </row>
    <row r="365" spans="12:12" x14ac:dyDescent="0.35">
      <c r="L365" s="22"/>
    </row>
    <row r="366" spans="12:12" x14ac:dyDescent="0.35">
      <c r="L366" s="22"/>
    </row>
    <row r="367" spans="12:12" x14ac:dyDescent="0.35">
      <c r="L367" s="22"/>
    </row>
    <row r="368" spans="12:12" x14ac:dyDescent="0.35">
      <c r="L368" s="22"/>
    </row>
    <row r="369" spans="12:12" x14ac:dyDescent="0.35">
      <c r="L369" s="22"/>
    </row>
    <row r="370" spans="12:12" x14ac:dyDescent="0.35">
      <c r="L370" s="21"/>
    </row>
    <row r="371" spans="12:12" x14ac:dyDescent="0.35">
      <c r="L371" s="21">
        <v>3.35</v>
      </c>
    </row>
    <row r="372" spans="12:12" x14ac:dyDescent="0.35">
      <c r="L372" s="22"/>
    </row>
    <row r="373" spans="12:12" x14ac:dyDescent="0.35">
      <c r="L373" s="22"/>
    </row>
    <row r="374" spans="12:12" x14ac:dyDescent="0.35">
      <c r="L374" s="22"/>
    </row>
    <row r="375" spans="12:12" x14ac:dyDescent="0.35">
      <c r="L375" s="22"/>
    </row>
    <row r="376" spans="12:12" x14ac:dyDescent="0.35">
      <c r="L376" s="22"/>
    </row>
    <row r="377" spans="12:12" x14ac:dyDescent="0.35">
      <c r="L377" s="22"/>
    </row>
    <row r="378" spans="12:12" x14ac:dyDescent="0.35">
      <c r="L378" s="22"/>
    </row>
    <row r="379" spans="12:12" x14ac:dyDescent="0.35">
      <c r="L379" s="22"/>
    </row>
    <row r="380" spans="12:12" x14ac:dyDescent="0.35">
      <c r="L380" s="22"/>
    </row>
    <row r="381" spans="12:12" x14ac:dyDescent="0.35">
      <c r="L381" s="22"/>
    </row>
    <row r="382" spans="12:12" x14ac:dyDescent="0.35">
      <c r="L382" s="21"/>
    </row>
    <row r="383" spans="12:12" x14ac:dyDescent="0.35">
      <c r="L383" s="21">
        <v>3.45</v>
      </c>
    </row>
    <row r="384" spans="12:12" x14ac:dyDescent="0.35">
      <c r="L384" s="22"/>
    </row>
    <row r="385" spans="12:12" x14ac:dyDescent="0.35">
      <c r="L385" s="22"/>
    </row>
    <row r="386" spans="12:12" x14ac:dyDescent="0.35">
      <c r="L386" s="22"/>
    </row>
    <row r="387" spans="12:12" x14ac:dyDescent="0.35">
      <c r="L387" s="22"/>
    </row>
    <row r="388" spans="12:12" x14ac:dyDescent="0.35">
      <c r="L388" s="22"/>
    </row>
    <row r="389" spans="12:12" x14ac:dyDescent="0.35">
      <c r="L389" s="22"/>
    </row>
    <row r="390" spans="12:12" x14ac:dyDescent="0.35">
      <c r="L390" s="22"/>
    </row>
    <row r="391" spans="12:12" x14ac:dyDescent="0.35">
      <c r="L391" s="22"/>
    </row>
    <row r="392" spans="12:12" x14ac:dyDescent="0.35">
      <c r="L392" s="22"/>
    </row>
    <row r="393" spans="12:12" x14ac:dyDescent="0.35">
      <c r="L393" s="22"/>
    </row>
    <row r="394" spans="12:12" x14ac:dyDescent="0.35">
      <c r="L394" s="21"/>
    </row>
    <row r="395" spans="12:12" x14ac:dyDescent="0.35">
      <c r="L395" s="21">
        <v>4.05</v>
      </c>
    </row>
    <row r="396" spans="12:12" x14ac:dyDescent="0.35">
      <c r="L396" s="22"/>
    </row>
    <row r="397" spans="12:12" x14ac:dyDescent="0.35">
      <c r="L397" s="22"/>
    </row>
    <row r="398" spans="12:12" x14ac:dyDescent="0.35">
      <c r="L398" s="22"/>
    </row>
    <row r="399" spans="12:12" x14ac:dyDescent="0.35">
      <c r="L399" s="22"/>
    </row>
    <row r="400" spans="12:12" x14ac:dyDescent="0.35">
      <c r="L400" s="22"/>
    </row>
    <row r="401" spans="12:12" x14ac:dyDescent="0.35">
      <c r="L401" s="22"/>
    </row>
    <row r="402" spans="12:12" x14ac:dyDescent="0.35">
      <c r="L402" s="22"/>
    </row>
    <row r="403" spans="12:12" x14ac:dyDescent="0.35">
      <c r="L403" s="22"/>
    </row>
    <row r="404" spans="12:12" x14ac:dyDescent="0.35">
      <c r="L404" s="22"/>
    </row>
    <row r="405" spans="12:12" x14ac:dyDescent="0.35">
      <c r="L405" s="22"/>
    </row>
    <row r="406" spans="12:12" x14ac:dyDescent="0.35">
      <c r="L406" s="21"/>
    </row>
    <row r="407" spans="12:12" x14ac:dyDescent="0.35">
      <c r="L407" s="21">
        <v>3.95</v>
      </c>
    </row>
    <row r="408" spans="12:12" x14ac:dyDescent="0.35">
      <c r="L408" s="22"/>
    </row>
    <row r="409" spans="12:12" x14ac:dyDescent="0.35">
      <c r="L409" s="22"/>
    </row>
    <row r="410" spans="12:12" x14ac:dyDescent="0.35">
      <c r="L410" s="22"/>
    </row>
    <row r="411" spans="12:12" x14ac:dyDescent="0.35">
      <c r="L411" s="22"/>
    </row>
    <row r="412" spans="12:12" x14ac:dyDescent="0.35">
      <c r="L412" s="22"/>
    </row>
    <row r="413" spans="12:12" x14ac:dyDescent="0.35">
      <c r="L413" s="22"/>
    </row>
    <row r="414" spans="12:12" x14ac:dyDescent="0.35">
      <c r="L414" s="22"/>
    </row>
    <row r="415" spans="12:12" x14ac:dyDescent="0.35">
      <c r="L415" s="22"/>
    </row>
    <row r="416" spans="12:12" x14ac:dyDescent="0.35">
      <c r="L416" s="22"/>
    </row>
    <row r="417" spans="12:12" x14ac:dyDescent="0.35">
      <c r="L417" s="22"/>
    </row>
    <row r="418" spans="12:12" x14ac:dyDescent="0.35">
      <c r="L418" s="22"/>
    </row>
    <row r="419" spans="12:12" x14ac:dyDescent="0.35">
      <c r="L419" s="22"/>
    </row>
    <row r="420" spans="12:12" x14ac:dyDescent="0.35">
      <c r="L420" s="21"/>
    </row>
    <row r="421" spans="12:12" x14ac:dyDescent="0.35">
      <c r="L421" s="21">
        <v>3.85</v>
      </c>
    </row>
    <row r="422" spans="12:12" x14ac:dyDescent="0.35">
      <c r="L422" s="22"/>
    </row>
    <row r="423" spans="12:12" x14ac:dyDescent="0.35">
      <c r="L423" s="22"/>
    </row>
    <row r="424" spans="12:12" x14ac:dyDescent="0.35">
      <c r="L424" s="22"/>
    </row>
    <row r="425" spans="12:12" x14ac:dyDescent="0.35">
      <c r="L425" s="22"/>
    </row>
    <row r="426" spans="12:12" x14ac:dyDescent="0.35">
      <c r="L426" s="22"/>
    </row>
    <row r="427" spans="12:12" x14ac:dyDescent="0.35">
      <c r="L427" s="22"/>
    </row>
    <row r="428" spans="12:12" x14ac:dyDescent="0.35">
      <c r="L428" s="22"/>
    </row>
    <row r="429" spans="12:12" x14ac:dyDescent="0.35">
      <c r="L429" s="22"/>
    </row>
    <row r="430" spans="12:12" x14ac:dyDescent="0.35">
      <c r="L430" s="22"/>
    </row>
    <row r="431" spans="12:12" x14ac:dyDescent="0.35">
      <c r="L431" s="21"/>
    </row>
    <row r="432" spans="12:12" x14ac:dyDescent="0.35">
      <c r="L432" s="21">
        <v>3.45</v>
      </c>
    </row>
    <row r="433" spans="12:12" x14ac:dyDescent="0.35">
      <c r="L433" s="22"/>
    </row>
    <row r="434" spans="12:12" x14ac:dyDescent="0.35">
      <c r="L434" s="22"/>
    </row>
    <row r="435" spans="12:12" x14ac:dyDescent="0.35">
      <c r="L435" s="22"/>
    </row>
    <row r="436" spans="12:12" x14ac:dyDescent="0.35">
      <c r="L436" s="22"/>
    </row>
    <row r="437" spans="12:12" x14ac:dyDescent="0.35">
      <c r="L437" s="22"/>
    </row>
    <row r="438" spans="12:12" x14ac:dyDescent="0.35">
      <c r="L438" s="22"/>
    </row>
    <row r="439" spans="12:12" x14ac:dyDescent="0.35">
      <c r="L439" s="22"/>
    </row>
    <row r="440" spans="12:12" x14ac:dyDescent="0.35">
      <c r="L440" s="22"/>
    </row>
    <row r="441" spans="12:12" x14ac:dyDescent="0.35">
      <c r="L441" s="22"/>
    </row>
    <row r="442" spans="12:12" x14ac:dyDescent="0.35">
      <c r="L442" s="22"/>
    </row>
    <row r="443" spans="12:12" x14ac:dyDescent="0.35">
      <c r="L443" s="21"/>
    </row>
    <row r="444" spans="12:12" x14ac:dyDescent="0.35">
      <c r="L444" s="21">
        <v>4.05</v>
      </c>
    </row>
    <row r="445" spans="12:12" x14ac:dyDescent="0.35">
      <c r="L445" s="22"/>
    </row>
    <row r="446" spans="12:12" x14ac:dyDescent="0.35">
      <c r="L446" s="22"/>
    </row>
    <row r="447" spans="12:12" x14ac:dyDescent="0.35">
      <c r="L447" s="22"/>
    </row>
    <row r="448" spans="12:12" x14ac:dyDescent="0.35">
      <c r="L448" s="22"/>
    </row>
    <row r="449" spans="12:12" x14ac:dyDescent="0.35">
      <c r="L449" s="22"/>
    </row>
    <row r="450" spans="12:12" x14ac:dyDescent="0.35">
      <c r="L450" s="22"/>
    </row>
    <row r="451" spans="12:12" x14ac:dyDescent="0.35">
      <c r="L451" s="22"/>
    </row>
    <row r="452" spans="12:12" x14ac:dyDescent="0.35">
      <c r="L452" s="22"/>
    </row>
    <row r="453" spans="12:12" x14ac:dyDescent="0.35">
      <c r="L453" s="22"/>
    </row>
    <row r="454" spans="12:12" x14ac:dyDescent="0.35">
      <c r="L454" s="22"/>
    </row>
    <row r="455" spans="12:12" x14ac:dyDescent="0.35">
      <c r="L455" s="21"/>
    </row>
    <row r="456" spans="12:12" x14ac:dyDescent="0.35">
      <c r="L456" s="21">
        <v>3.35</v>
      </c>
    </row>
    <row r="457" spans="12:12" x14ac:dyDescent="0.35">
      <c r="L457" s="22"/>
    </row>
    <row r="458" spans="12:12" x14ac:dyDescent="0.35">
      <c r="L458" s="22"/>
    </row>
    <row r="459" spans="12:12" x14ac:dyDescent="0.35">
      <c r="L459" s="22"/>
    </row>
    <row r="460" spans="12:12" x14ac:dyDescent="0.35">
      <c r="L460" s="22"/>
    </row>
    <row r="461" spans="12:12" x14ac:dyDescent="0.35">
      <c r="L461" s="22"/>
    </row>
    <row r="462" spans="12:12" x14ac:dyDescent="0.35">
      <c r="L462" s="22"/>
    </row>
    <row r="463" spans="12:12" x14ac:dyDescent="0.35">
      <c r="L463" s="22"/>
    </row>
    <row r="464" spans="12:12" x14ac:dyDescent="0.35">
      <c r="L464" s="22"/>
    </row>
    <row r="465" spans="12:12" x14ac:dyDescent="0.35">
      <c r="L465" s="22"/>
    </row>
    <row r="466" spans="12:12" x14ac:dyDescent="0.35">
      <c r="L466" s="22"/>
    </row>
    <row r="467" spans="12:12" x14ac:dyDescent="0.35">
      <c r="L467" s="21"/>
    </row>
    <row r="468" spans="12:12" x14ac:dyDescent="0.35">
      <c r="L468" s="21">
        <v>3.45</v>
      </c>
    </row>
    <row r="469" spans="12:12" x14ac:dyDescent="0.35">
      <c r="L469" s="22"/>
    </row>
    <row r="470" spans="12:12" x14ac:dyDescent="0.35">
      <c r="L470" s="22"/>
    </row>
    <row r="471" spans="12:12" x14ac:dyDescent="0.35">
      <c r="L471" s="22"/>
    </row>
    <row r="472" spans="12:12" x14ac:dyDescent="0.35">
      <c r="L472" s="22"/>
    </row>
    <row r="473" spans="12:12" x14ac:dyDescent="0.35">
      <c r="L473" s="22"/>
    </row>
    <row r="474" spans="12:12" x14ac:dyDescent="0.35">
      <c r="L474" s="22"/>
    </row>
    <row r="475" spans="12:12" x14ac:dyDescent="0.35">
      <c r="L475" s="22"/>
    </row>
    <row r="476" spans="12:12" x14ac:dyDescent="0.35">
      <c r="L476" s="22"/>
    </row>
    <row r="477" spans="12:12" x14ac:dyDescent="0.35">
      <c r="L477" s="22"/>
    </row>
    <row r="478" spans="12:12" x14ac:dyDescent="0.35">
      <c r="L478" s="22"/>
    </row>
    <row r="479" spans="12:12" x14ac:dyDescent="0.35">
      <c r="L479" s="21"/>
    </row>
    <row r="480" spans="12:12" x14ac:dyDescent="0.35">
      <c r="L480" s="21">
        <v>3.85</v>
      </c>
    </row>
    <row r="481" spans="12:12" x14ac:dyDescent="0.35">
      <c r="L481" s="22"/>
    </row>
    <row r="482" spans="12:12" x14ac:dyDescent="0.35">
      <c r="L482" s="22"/>
    </row>
    <row r="483" spans="12:12" x14ac:dyDescent="0.35">
      <c r="L483" s="22"/>
    </row>
    <row r="484" spans="12:12" x14ac:dyDescent="0.35">
      <c r="L484" s="22"/>
    </row>
    <row r="485" spans="12:12" x14ac:dyDescent="0.35">
      <c r="L485" s="22"/>
    </row>
    <row r="486" spans="12:12" x14ac:dyDescent="0.35">
      <c r="L486" s="22"/>
    </row>
    <row r="487" spans="12:12" x14ac:dyDescent="0.35">
      <c r="L487" s="22"/>
    </row>
    <row r="488" spans="12:12" x14ac:dyDescent="0.35">
      <c r="L488" s="22"/>
    </row>
    <row r="489" spans="12:12" x14ac:dyDescent="0.35">
      <c r="L489" s="22"/>
    </row>
    <row r="490" spans="12:12" x14ac:dyDescent="0.35">
      <c r="L490" s="22"/>
    </row>
    <row r="491" spans="12:12" x14ac:dyDescent="0.35">
      <c r="L491" s="21"/>
    </row>
    <row r="492" spans="12:12" x14ac:dyDescent="0.35">
      <c r="L492" s="21">
        <v>3.35</v>
      </c>
    </row>
    <row r="493" spans="12:12" x14ac:dyDescent="0.35">
      <c r="L493" s="22"/>
    </row>
    <row r="494" spans="12:12" x14ac:dyDescent="0.35">
      <c r="L494" s="22"/>
    </row>
    <row r="495" spans="12:12" x14ac:dyDescent="0.35">
      <c r="L495" s="22"/>
    </row>
    <row r="496" spans="12:12" x14ac:dyDescent="0.35">
      <c r="L496" s="22"/>
    </row>
    <row r="497" spans="12:12" x14ac:dyDescent="0.35">
      <c r="L497" s="22"/>
    </row>
    <row r="498" spans="12:12" x14ac:dyDescent="0.35">
      <c r="L498" s="22"/>
    </row>
    <row r="499" spans="12:12" x14ac:dyDescent="0.35">
      <c r="L499" s="22"/>
    </row>
    <row r="500" spans="12:12" x14ac:dyDescent="0.35">
      <c r="L500" s="22"/>
    </row>
    <row r="501" spans="12:12" x14ac:dyDescent="0.35">
      <c r="L501" s="22"/>
    </row>
    <row r="502" spans="12:12" x14ac:dyDescent="0.35">
      <c r="L502" s="22"/>
    </row>
    <row r="503" spans="12:12" x14ac:dyDescent="0.35">
      <c r="L503" s="21"/>
    </row>
    <row r="504" spans="12:12" x14ac:dyDescent="0.35">
      <c r="L504" s="21">
        <v>3.45</v>
      </c>
    </row>
    <row r="505" spans="12:12" x14ac:dyDescent="0.35">
      <c r="L505" s="22"/>
    </row>
    <row r="506" spans="12:12" x14ac:dyDescent="0.35">
      <c r="L506" s="22"/>
    </row>
    <row r="507" spans="12:12" x14ac:dyDescent="0.35">
      <c r="L507" s="22"/>
    </row>
    <row r="508" spans="12:12" x14ac:dyDescent="0.35">
      <c r="L508" s="22"/>
    </row>
    <row r="509" spans="12:12" x14ac:dyDescent="0.35">
      <c r="L509" s="22"/>
    </row>
    <row r="510" spans="12:12" x14ac:dyDescent="0.35">
      <c r="L510" s="22"/>
    </row>
    <row r="511" spans="12:12" x14ac:dyDescent="0.35">
      <c r="L511" s="22"/>
    </row>
    <row r="512" spans="12:12" x14ac:dyDescent="0.35">
      <c r="L512" s="22"/>
    </row>
    <row r="513" spans="12:12" x14ac:dyDescent="0.35">
      <c r="L513" s="22"/>
    </row>
    <row r="514" spans="12:12" x14ac:dyDescent="0.35">
      <c r="L514" s="21"/>
    </row>
    <row r="515" spans="12:12" x14ac:dyDescent="0.35">
      <c r="L515" s="21">
        <v>17.5</v>
      </c>
    </row>
    <row r="516" spans="12:12" x14ac:dyDescent="0.35">
      <c r="L516" s="22"/>
    </row>
    <row r="517" spans="12:12" x14ac:dyDescent="0.35">
      <c r="L517" s="22"/>
    </row>
    <row r="518" spans="12:12" x14ac:dyDescent="0.35">
      <c r="L518" s="22"/>
    </row>
    <row r="519" spans="12:12" x14ac:dyDescent="0.35">
      <c r="L519" s="22"/>
    </row>
    <row r="520" spans="12:12" x14ac:dyDescent="0.35">
      <c r="L520" s="22"/>
    </row>
    <row r="521" spans="12:12" x14ac:dyDescent="0.35">
      <c r="L521" s="22"/>
    </row>
    <row r="522" spans="12:12" x14ac:dyDescent="0.35">
      <c r="L522" s="22"/>
    </row>
    <row r="523" spans="12:12" x14ac:dyDescent="0.35">
      <c r="L523" s="21"/>
    </row>
    <row r="524" spans="12:12" x14ac:dyDescent="0.35">
      <c r="L524" s="21">
        <v>3.85</v>
      </c>
    </row>
    <row r="525" spans="12:12" x14ac:dyDescent="0.35">
      <c r="L525" s="22"/>
    </row>
    <row r="526" spans="12:12" x14ac:dyDescent="0.35">
      <c r="L526" s="22"/>
    </row>
    <row r="527" spans="12:12" x14ac:dyDescent="0.35">
      <c r="L527" s="22"/>
    </row>
    <row r="528" spans="12:12" x14ac:dyDescent="0.35">
      <c r="L528" s="22"/>
    </row>
    <row r="529" spans="12:12" x14ac:dyDescent="0.35">
      <c r="L529" s="22"/>
    </row>
    <row r="530" spans="12:12" x14ac:dyDescent="0.35">
      <c r="L530" s="22"/>
    </row>
    <row r="531" spans="12:12" x14ac:dyDescent="0.35">
      <c r="L531" s="22"/>
    </row>
    <row r="532" spans="12:12" x14ac:dyDescent="0.35">
      <c r="L532" s="22"/>
    </row>
    <row r="533" spans="12:12" x14ac:dyDescent="0.35">
      <c r="L533" s="22"/>
    </row>
    <row r="534" spans="12:12" x14ac:dyDescent="0.35">
      <c r="L534" s="22"/>
    </row>
    <row r="535" spans="12:12" x14ac:dyDescent="0.35">
      <c r="L535" s="22"/>
    </row>
    <row r="536" spans="12:12" x14ac:dyDescent="0.35">
      <c r="L536" s="22"/>
    </row>
    <row r="537" spans="12:12" x14ac:dyDescent="0.35">
      <c r="L537" s="21"/>
    </row>
    <row r="538" spans="12:12" x14ac:dyDescent="0.35">
      <c r="L538" s="21">
        <v>3.45</v>
      </c>
    </row>
    <row r="539" spans="12:12" x14ac:dyDescent="0.35">
      <c r="L539" s="22"/>
    </row>
    <row r="540" spans="12:12" x14ac:dyDescent="0.35">
      <c r="L540" s="22"/>
    </row>
    <row r="541" spans="12:12" x14ac:dyDescent="0.35">
      <c r="L541" s="22"/>
    </row>
    <row r="542" spans="12:12" x14ac:dyDescent="0.35">
      <c r="L542" s="22"/>
    </row>
    <row r="543" spans="12:12" x14ac:dyDescent="0.35">
      <c r="L543" s="22"/>
    </row>
    <row r="544" spans="12:12" x14ac:dyDescent="0.35">
      <c r="L544" s="22"/>
    </row>
    <row r="545" spans="12:12" x14ac:dyDescent="0.35">
      <c r="L545" s="22"/>
    </row>
    <row r="546" spans="12:12" x14ac:dyDescent="0.35">
      <c r="L546" s="22"/>
    </row>
    <row r="547" spans="12:12" x14ac:dyDescent="0.35">
      <c r="L547" s="22"/>
    </row>
    <row r="548" spans="12:12" x14ac:dyDescent="0.35">
      <c r="L548" s="22"/>
    </row>
    <row r="549" spans="12:12" x14ac:dyDescent="0.35">
      <c r="L549" s="22"/>
    </row>
    <row r="550" spans="12:12" x14ac:dyDescent="0.35">
      <c r="L550" s="21"/>
    </row>
    <row r="551" spans="12:12" x14ac:dyDescent="0.35">
      <c r="L551" s="21">
        <v>3.85</v>
      </c>
    </row>
    <row r="552" spans="12:12" x14ac:dyDescent="0.35">
      <c r="L552" s="22"/>
    </row>
    <row r="553" spans="12:12" x14ac:dyDescent="0.35">
      <c r="L553" s="22"/>
    </row>
    <row r="554" spans="12:12" x14ac:dyDescent="0.35">
      <c r="L554" s="22"/>
    </row>
    <row r="555" spans="12:12" x14ac:dyDescent="0.35">
      <c r="L555" s="22"/>
    </row>
    <row r="556" spans="12:12" x14ac:dyDescent="0.35">
      <c r="L556" s="22"/>
    </row>
    <row r="557" spans="12:12" x14ac:dyDescent="0.35">
      <c r="L557" s="22"/>
    </row>
    <row r="558" spans="12:12" x14ac:dyDescent="0.35">
      <c r="L558" s="22"/>
    </row>
    <row r="559" spans="12:12" x14ac:dyDescent="0.35">
      <c r="L559" s="22"/>
    </row>
    <row r="560" spans="12:12" x14ac:dyDescent="0.35">
      <c r="L560" s="22"/>
    </row>
    <row r="561" spans="12:12" x14ac:dyDescent="0.35">
      <c r="L561" s="22"/>
    </row>
    <row r="562" spans="12:12" x14ac:dyDescent="0.35">
      <c r="L562" s="21"/>
    </row>
    <row r="563" spans="12:12" x14ac:dyDescent="0.35">
      <c r="L563" s="21">
        <v>3.45</v>
      </c>
    </row>
    <row r="564" spans="12:12" x14ac:dyDescent="0.35">
      <c r="L564" s="22"/>
    </row>
    <row r="565" spans="12:12" x14ac:dyDescent="0.35">
      <c r="L565" s="22"/>
    </row>
    <row r="566" spans="12:12" x14ac:dyDescent="0.35">
      <c r="L566" s="22"/>
    </row>
    <row r="567" spans="12:12" x14ac:dyDescent="0.35">
      <c r="L567" s="22"/>
    </row>
    <row r="568" spans="12:12" x14ac:dyDescent="0.35">
      <c r="L568" s="22"/>
    </row>
    <row r="569" spans="12:12" x14ac:dyDescent="0.35">
      <c r="L569" s="22"/>
    </row>
    <row r="570" spans="12:12" x14ac:dyDescent="0.35">
      <c r="L570" s="22"/>
    </row>
    <row r="571" spans="12:12" x14ac:dyDescent="0.35">
      <c r="L571" s="22"/>
    </row>
    <row r="572" spans="12:12" x14ac:dyDescent="0.35">
      <c r="L572" s="22"/>
    </row>
    <row r="573" spans="12:12" x14ac:dyDescent="0.35">
      <c r="L573" s="22"/>
    </row>
    <row r="574" spans="12:12" x14ac:dyDescent="0.35">
      <c r="L574" s="21"/>
    </row>
    <row r="575" spans="12:12" x14ac:dyDescent="0.35">
      <c r="L575" s="21"/>
    </row>
    <row r="576" spans="12:12" x14ac:dyDescent="0.35">
      <c r="L576" s="21"/>
    </row>
    <row r="577" spans="12:12" x14ac:dyDescent="0.35">
      <c r="L577" s="21"/>
    </row>
    <row r="578" spans="12:12" x14ac:dyDescent="0.35">
      <c r="L578" s="21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2"/>
  <sheetViews>
    <sheetView workbookViewId="0">
      <selection activeCell="B2" sqref="B2"/>
    </sheetView>
  </sheetViews>
  <sheetFormatPr defaultColWidth="8.6328125" defaultRowHeight="12.5" outlineLevelRow="1" x14ac:dyDescent="0.25"/>
  <cols>
    <col min="1" max="1" width="4.6328125" style="117" customWidth="1"/>
    <col min="2" max="2" width="17.36328125" style="121" customWidth="1"/>
    <col min="3" max="3" width="16.6328125" style="121" customWidth="1"/>
    <col min="4" max="4" width="24.6328125" style="121" customWidth="1"/>
    <col min="5" max="5" width="24.6328125" style="122" customWidth="1"/>
    <col min="6" max="6" width="24.6328125" style="121" customWidth="1"/>
    <col min="7" max="7" width="6.453125" style="121" customWidth="1"/>
    <col min="8" max="16" width="9.453125" style="121" customWidth="1"/>
    <col min="17" max="16384" width="8.6328125" style="121"/>
  </cols>
  <sheetData>
    <row r="1" spans="1:9" s="117" customFormat="1" x14ac:dyDescent="0.25">
      <c r="E1" s="118"/>
    </row>
    <row r="2" spans="1:9" s="117" customFormat="1" ht="13" x14ac:dyDescent="0.3">
      <c r="B2" s="119" t="str">
        <f>Summary!B2</f>
        <v>New1 Warehouse and Office</v>
      </c>
      <c r="E2" s="118"/>
      <c r="I2" s="126" t="s">
        <v>244</v>
      </c>
    </row>
    <row r="3" spans="1:9" s="117" customFormat="1" ht="13" x14ac:dyDescent="0.3">
      <c r="B3" s="119"/>
      <c r="E3" s="118"/>
    </row>
    <row r="4" spans="1:9" ht="15.5" x14ac:dyDescent="0.35">
      <c r="B4" s="120" t="s">
        <v>221</v>
      </c>
      <c r="H4" s="126" t="s">
        <v>246</v>
      </c>
      <c r="I4" s="126"/>
    </row>
    <row r="6" spans="1:9" ht="15.5" x14ac:dyDescent="0.35">
      <c r="A6" s="123"/>
      <c r="B6" s="120"/>
    </row>
    <row r="7" spans="1:9" ht="15.5" x14ac:dyDescent="0.35">
      <c r="A7" s="123">
        <v>3</v>
      </c>
      <c r="B7" s="120" t="s">
        <v>222</v>
      </c>
    </row>
    <row r="8" spans="1:9" outlineLevel="1" x14ac:dyDescent="0.25">
      <c r="A8" s="124"/>
      <c r="B8" s="125"/>
      <c r="C8" s="126" t="s">
        <v>223</v>
      </c>
      <c r="D8" s="126" t="s">
        <v>224</v>
      </c>
      <c r="E8" s="127" t="s">
        <v>225</v>
      </c>
      <c r="F8" s="128" t="s">
        <v>226</v>
      </c>
      <c r="G8" s="129"/>
    </row>
    <row r="9" spans="1:9" outlineLevel="1" x14ac:dyDescent="0.25">
      <c r="A9" s="124"/>
      <c r="B9" s="130" t="s">
        <v>227</v>
      </c>
      <c r="C9" s="131"/>
      <c r="D9" s="131"/>
      <c r="E9" s="131"/>
      <c r="F9" s="132"/>
      <c r="G9" s="129"/>
    </row>
    <row r="10" spans="1:9" outlineLevel="1" x14ac:dyDescent="0.25">
      <c r="A10" s="124"/>
      <c r="B10" s="130" t="s">
        <v>228</v>
      </c>
      <c r="C10" s="133"/>
      <c r="D10" s="134"/>
      <c r="E10" s="134"/>
      <c r="F10" s="135"/>
      <c r="G10" s="129"/>
    </row>
    <row r="11" spans="1:9" outlineLevel="1" x14ac:dyDescent="0.25">
      <c r="A11" s="124"/>
      <c r="B11" s="130"/>
      <c r="C11" s="134"/>
      <c r="D11" s="134"/>
      <c r="E11" s="134"/>
      <c r="F11" s="135"/>
      <c r="G11" s="129"/>
    </row>
    <row r="12" spans="1:9" outlineLevel="1" x14ac:dyDescent="0.25">
      <c r="A12" s="124"/>
      <c r="B12" s="130" t="s">
        <v>229</v>
      </c>
      <c r="C12" s="134"/>
      <c r="D12" s="134"/>
      <c r="E12" s="134"/>
      <c r="F12" s="135"/>
      <c r="G12" s="129"/>
    </row>
    <row r="13" spans="1:9" outlineLevel="1" x14ac:dyDescent="0.25">
      <c r="A13" s="136" t="s">
        <v>230</v>
      </c>
      <c r="B13" s="130"/>
      <c r="C13" s="134"/>
      <c r="D13" s="134"/>
      <c r="E13" s="134"/>
      <c r="F13" s="135"/>
      <c r="G13" s="129"/>
    </row>
    <row r="14" spans="1:9" outlineLevel="1" x14ac:dyDescent="0.25">
      <c r="A14" s="124" t="s">
        <v>231</v>
      </c>
      <c r="B14" s="130"/>
      <c r="C14" s="134"/>
      <c r="D14" s="134"/>
      <c r="E14" s="134"/>
      <c r="F14" s="135"/>
      <c r="G14" s="129"/>
    </row>
    <row r="15" spans="1:9" outlineLevel="1" x14ac:dyDescent="0.25">
      <c r="A15" s="124" t="s">
        <v>232</v>
      </c>
      <c r="B15" s="130"/>
      <c r="C15" s="134"/>
      <c r="D15" s="134"/>
      <c r="E15" s="134"/>
      <c r="F15" s="135"/>
      <c r="G15" s="129"/>
    </row>
    <row r="16" spans="1:9" outlineLevel="1" x14ac:dyDescent="0.25">
      <c r="A16" s="124" t="s">
        <v>233</v>
      </c>
      <c r="B16" s="130"/>
      <c r="C16" s="134"/>
      <c r="D16" s="134"/>
      <c r="E16" s="134"/>
      <c r="F16" s="135"/>
      <c r="G16" s="129"/>
    </row>
    <row r="17" spans="1:7" outlineLevel="1" x14ac:dyDescent="0.25">
      <c r="A17" s="124"/>
      <c r="B17" s="130"/>
      <c r="C17" s="134"/>
      <c r="D17" s="134"/>
      <c r="E17" s="134"/>
      <c r="F17" s="135"/>
      <c r="G17" s="129"/>
    </row>
    <row r="18" spans="1:7" outlineLevel="1" x14ac:dyDescent="0.25">
      <c r="A18" s="130" t="s">
        <v>234</v>
      </c>
      <c r="B18" s="130"/>
      <c r="C18" s="134"/>
      <c r="D18" s="134"/>
      <c r="E18" s="134"/>
      <c r="F18" s="135"/>
      <c r="G18" s="129"/>
    </row>
    <row r="19" spans="1:7" outlineLevel="1" x14ac:dyDescent="0.25">
      <c r="A19" s="124" t="s">
        <v>235</v>
      </c>
      <c r="B19" s="130"/>
      <c r="C19" s="134"/>
      <c r="D19" s="134"/>
      <c r="E19" s="134"/>
      <c r="F19" s="135"/>
      <c r="G19" s="129"/>
    </row>
    <row r="20" spans="1:7" outlineLevel="1" x14ac:dyDescent="0.25">
      <c r="A20" s="124" t="s">
        <v>236</v>
      </c>
      <c r="B20" s="130"/>
      <c r="C20" s="134"/>
      <c r="D20" s="134"/>
      <c r="E20" s="134"/>
      <c r="F20" s="135"/>
      <c r="G20" s="129"/>
    </row>
    <row r="21" spans="1:7" outlineLevel="1" x14ac:dyDescent="0.25">
      <c r="A21" s="124" t="s">
        <v>237</v>
      </c>
      <c r="B21" s="130"/>
      <c r="C21" s="134"/>
      <c r="D21" s="134"/>
      <c r="E21" s="134"/>
      <c r="F21" s="135"/>
      <c r="G21" s="129"/>
    </row>
    <row r="22" spans="1:7" outlineLevel="1" x14ac:dyDescent="0.25">
      <c r="A22" s="124"/>
      <c r="B22" s="130"/>
      <c r="C22" s="134"/>
      <c r="D22" s="134"/>
      <c r="E22" s="134"/>
      <c r="F22" s="135"/>
      <c r="G22" s="129"/>
    </row>
    <row r="23" spans="1:7" outlineLevel="1" x14ac:dyDescent="0.25">
      <c r="A23" s="136" t="s">
        <v>238</v>
      </c>
      <c r="B23" s="130"/>
      <c r="C23" s="134"/>
      <c r="D23" s="134"/>
      <c r="E23" s="134"/>
      <c r="F23" s="135"/>
      <c r="G23" s="129"/>
    </row>
    <row r="24" spans="1:7" outlineLevel="1" x14ac:dyDescent="0.25">
      <c r="A24" s="124" t="s">
        <v>239</v>
      </c>
      <c r="B24" s="130"/>
      <c r="C24" s="134"/>
      <c r="D24" s="134"/>
      <c r="E24" s="134"/>
      <c r="F24" s="135"/>
      <c r="G24" s="129"/>
    </row>
    <row r="25" spans="1:7" outlineLevel="1" x14ac:dyDescent="0.25">
      <c r="A25" s="124" t="s">
        <v>240</v>
      </c>
      <c r="B25" s="130"/>
      <c r="C25" s="134"/>
      <c r="D25" s="134"/>
      <c r="E25" s="134"/>
      <c r="F25" s="135"/>
      <c r="G25" s="129"/>
    </row>
    <row r="26" spans="1:7" outlineLevel="1" x14ac:dyDescent="0.25">
      <c r="A26" s="124" t="s">
        <v>241</v>
      </c>
      <c r="B26" s="130"/>
      <c r="C26" s="134"/>
      <c r="D26" s="134"/>
      <c r="E26" s="134"/>
      <c r="F26" s="135"/>
      <c r="G26" s="129"/>
    </row>
    <row r="27" spans="1:7" outlineLevel="1" x14ac:dyDescent="0.25">
      <c r="A27" s="124"/>
      <c r="B27" s="130"/>
      <c r="C27" s="137"/>
      <c r="D27" s="137"/>
      <c r="E27" s="137"/>
      <c r="F27" s="138"/>
      <c r="G27" s="129"/>
    </row>
    <row r="28" spans="1:7" ht="13" thickBot="1" x14ac:dyDescent="0.3">
      <c r="A28" s="124"/>
      <c r="B28" s="139" t="s">
        <v>242</v>
      </c>
      <c r="C28" s="140">
        <f>SUM(C9:C27)</f>
        <v>0</v>
      </c>
      <c r="D28" s="140">
        <f>SUM(D9:D27)</f>
        <v>0</v>
      </c>
      <c r="E28" s="140">
        <f>SUM(E9:E27)</f>
        <v>0</v>
      </c>
      <c r="F28" s="141">
        <f>SUM(F9:F27)</f>
        <v>0</v>
      </c>
      <c r="G28" s="129"/>
    </row>
    <row r="29" spans="1:7" ht="13" thickBot="1" x14ac:dyDescent="0.3">
      <c r="A29" s="124"/>
      <c r="B29" s="130" t="s">
        <v>243</v>
      </c>
      <c r="C29" s="142"/>
      <c r="D29" s="130"/>
      <c r="E29" s="143"/>
      <c r="F29" s="130"/>
      <c r="G29" s="124"/>
    </row>
    <row r="682" spans="5:5" ht="13" thickBot="1" x14ac:dyDescent="0.3">
      <c r="E682" s="1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20"/>
  <sheetViews>
    <sheetView workbookViewId="0">
      <selection activeCell="A2" sqref="A2"/>
    </sheetView>
  </sheetViews>
  <sheetFormatPr defaultRowHeight="14.5" x14ac:dyDescent="0.35"/>
  <cols>
    <col min="1" max="1" width="36" customWidth="1"/>
    <col min="2" max="2" width="9" customWidth="1"/>
    <col min="3" max="3" width="7.90625" customWidth="1"/>
    <col min="4" max="4" width="8.453125" customWidth="1"/>
    <col min="5" max="5" width="10.453125" customWidth="1"/>
    <col min="6" max="6" width="10.36328125" style="60" bestFit="1" customWidth="1"/>
  </cols>
  <sheetData>
    <row r="2" spans="1:8" x14ac:dyDescent="0.35">
      <c r="A2" s="103" t="str">
        <f>+Summary!B2</f>
        <v>New1 Warehouse and Office</v>
      </c>
      <c r="B2" s="103"/>
      <c r="C2" s="103" t="s">
        <v>183</v>
      </c>
      <c r="D2" s="103"/>
      <c r="E2" s="103"/>
      <c r="F2" s="104" t="s">
        <v>184</v>
      </c>
      <c r="H2" s="105"/>
    </row>
    <row r="3" spans="1:8" x14ac:dyDescent="0.35">
      <c r="C3" s="103"/>
      <c r="D3" s="103"/>
      <c r="E3" s="103">
        <f>ROUND(+E2/4.4,0)</f>
        <v>0</v>
      </c>
      <c r="F3" s="104" t="s">
        <v>185</v>
      </c>
    </row>
    <row r="4" spans="1:8" x14ac:dyDescent="0.35">
      <c r="F4" s="106"/>
    </row>
    <row r="5" spans="1:8" x14ac:dyDescent="0.35">
      <c r="A5" s="107" t="s">
        <v>1</v>
      </c>
      <c r="B5" s="108" t="s">
        <v>186</v>
      </c>
      <c r="C5" s="108" t="s">
        <v>187</v>
      </c>
      <c r="D5" s="108" t="s">
        <v>188</v>
      </c>
      <c r="E5" s="109" t="s">
        <v>189</v>
      </c>
      <c r="F5" s="109" t="s">
        <v>23</v>
      </c>
    </row>
    <row r="6" spans="1:8" x14ac:dyDescent="0.35">
      <c r="A6" s="110"/>
      <c r="B6" s="111"/>
      <c r="C6" s="111"/>
      <c r="D6" s="111"/>
      <c r="E6" s="112"/>
      <c r="F6" s="112"/>
    </row>
    <row r="7" spans="1:8" x14ac:dyDescent="0.35">
      <c r="A7" s="110" t="s">
        <v>190</v>
      </c>
      <c r="B7" s="113"/>
      <c r="C7" s="113"/>
      <c r="D7" s="113"/>
      <c r="E7" s="114"/>
      <c r="F7" s="114"/>
    </row>
    <row r="8" spans="1:8" x14ac:dyDescent="0.35">
      <c r="A8" s="115" t="s">
        <v>191</v>
      </c>
      <c r="B8" s="115">
        <v>1</v>
      </c>
      <c r="C8" s="113"/>
      <c r="D8" s="113">
        <f>E3</f>
        <v>0</v>
      </c>
      <c r="E8" s="114"/>
      <c r="F8" s="114">
        <f>+B8*D8*E8</f>
        <v>0</v>
      </c>
    </row>
    <row r="9" spans="1:8" x14ac:dyDescent="0.35">
      <c r="A9" s="113" t="s">
        <v>192</v>
      </c>
      <c r="B9" s="113">
        <v>2</v>
      </c>
      <c r="C9" s="113"/>
      <c r="D9" s="113"/>
      <c r="E9" s="114"/>
      <c r="F9" s="114">
        <f>+B9*E9</f>
        <v>0</v>
      </c>
    </row>
    <row r="10" spans="1:8" x14ac:dyDescent="0.35">
      <c r="A10" s="113" t="s">
        <v>193</v>
      </c>
      <c r="B10" s="113">
        <v>1</v>
      </c>
      <c r="C10" s="113"/>
      <c r="D10" s="113">
        <f>E3</f>
        <v>0</v>
      </c>
      <c r="E10" s="114"/>
      <c r="F10" s="114">
        <f t="shared" ref="F10:F26" si="0">+B10*D10*E10</f>
        <v>0</v>
      </c>
    </row>
    <row r="11" spans="1:8" x14ac:dyDescent="0.35">
      <c r="A11" s="113" t="s">
        <v>194</v>
      </c>
      <c r="B11" s="113">
        <v>2</v>
      </c>
      <c r="C11" s="113"/>
      <c r="D11" s="113"/>
      <c r="E11" s="114"/>
      <c r="F11" s="114">
        <f>+B11*E11</f>
        <v>0</v>
      </c>
    </row>
    <row r="12" spans="1:8" x14ac:dyDescent="0.35">
      <c r="A12" s="113"/>
      <c r="B12" s="113"/>
      <c r="C12" s="113"/>
      <c r="D12" s="113"/>
      <c r="E12" s="114"/>
      <c r="F12" s="114"/>
    </row>
    <row r="13" spans="1:8" x14ac:dyDescent="0.35">
      <c r="A13" s="110" t="s">
        <v>195</v>
      </c>
      <c r="B13" s="110"/>
      <c r="C13" s="113"/>
      <c r="D13" s="113"/>
      <c r="E13" s="114"/>
      <c r="F13" s="114"/>
    </row>
    <row r="14" spans="1:8" x14ac:dyDescent="0.35">
      <c r="A14" s="115" t="s">
        <v>196</v>
      </c>
      <c r="B14" s="113">
        <v>1</v>
      </c>
      <c r="C14" s="113"/>
      <c r="D14" s="113">
        <f>E3</f>
        <v>0</v>
      </c>
      <c r="E14" s="114"/>
      <c r="F14" s="114">
        <f t="shared" si="0"/>
        <v>0</v>
      </c>
    </row>
    <row r="15" spans="1:8" x14ac:dyDescent="0.35">
      <c r="A15" s="113" t="s">
        <v>197</v>
      </c>
      <c r="B15" s="113">
        <v>1</v>
      </c>
      <c r="C15" s="113"/>
      <c r="D15" s="113">
        <f>E3</f>
        <v>0</v>
      </c>
      <c r="E15" s="114"/>
      <c r="F15" s="114">
        <f t="shared" si="0"/>
        <v>0</v>
      </c>
    </row>
    <row r="16" spans="1:8" x14ac:dyDescent="0.35">
      <c r="A16" s="113"/>
      <c r="B16" s="113"/>
      <c r="C16" s="113"/>
      <c r="D16" s="113"/>
      <c r="E16" s="114"/>
      <c r="F16" s="114"/>
    </row>
    <row r="17" spans="1:6" x14ac:dyDescent="0.35">
      <c r="A17" s="110" t="s">
        <v>198</v>
      </c>
      <c r="B17" s="110"/>
      <c r="C17" s="113"/>
      <c r="D17" s="113"/>
      <c r="E17" s="114"/>
      <c r="F17" s="114"/>
    </row>
    <row r="18" spans="1:6" x14ac:dyDescent="0.35">
      <c r="A18" s="113" t="s">
        <v>199</v>
      </c>
      <c r="B18" s="113">
        <v>30</v>
      </c>
      <c r="C18" s="113">
        <f>E2</f>
        <v>0</v>
      </c>
      <c r="D18" s="113"/>
      <c r="E18" s="114"/>
      <c r="F18" s="114">
        <f>+B18*C18*E18</f>
        <v>0</v>
      </c>
    </row>
    <row r="19" spans="1:6" x14ac:dyDescent="0.35">
      <c r="A19" s="113" t="s">
        <v>200</v>
      </c>
      <c r="B19" s="113">
        <v>10</v>
      </c>
      <c r="C19" s="113"/>
      <c r="D19" s="113"/>
      <c r="E19" s="114"/>
      <c r="F19" s="114">
        <f>+B19*E19</f>
        <v>0</v>
      </c>
    </row>
    <row r="20" spans="1:6" x14ac:dyDescent="0.35">
      <c r="A20" s="113" t="s">
        <v>201</v>
      </c>
      <c r="B20" s="113">
        <v>1</v>
      </c>
      <c r="C20" s="113">
        <f>E2</f>
        <v>0</v>
      </c>
      <c r="D20" s="113"/>
      <c r="E20" s="114"/>
      <c r="F20" s="114">
        <f>+B20*C20*E20</f>
        <v>0</v>
      </c>
    </row>
    <row r="21" spans="1:6" x14ac:dyDescent="0.35">
      <c r="A21" s="113"/>
      <c r="B21" s="113"/>
      <c r="C21" s="113"/>
      <c r="D21" s="113"/>
      <c r="E21" s="114"/>
      <c r="F21" s="114"/>
    </row>
    <row r="22" spans="1:6" x14ac:dyDescent="0.35">
      <c r="A22" s="110" t="s">
        <v>202</v>
      </c>
      <c r="B22" s="110"/>
      <c r="C22" s="113"/>
      <c r="D22" s="113"/>
      <c r="E22" s="114"/>
      <c r="F22" s="114"/>
    </row>
    <row r="23" spans="1:6" x14ac:dyDescent="0.35">
      <c r="A23" s="115" t="s">
        <v>203</v>
      </c>
      <c r="B23" s="115">
        <v>1</v>
      </c>
      <c r="C23" s="113"/>
      <c r="D23" s="113"/>
      <c r="E23" s="114"/>
      <c r="F23" s="114">
        <f>+B23*E23</f>
        <v>0</v>
      </c>
    </row>
    <row r="24" spans="1:6" x14ac:dyDescent="0.35">
      <c r="A24" s="115" t="s">
        <v>204</v>
      </c>
      <c r="B24" s="115">
        <v>1</v>
      </c>
      <c r="C24" s="113"/>
      <c r="D24" s="113"/>
      <c r="E24" s="114"/>
      <c r="F24" s="114">
        <f>+B24*E24</f>
        <v>0</v>
      </c>
    </row>
    <row r="25" spans="1:6" x14ac:dyDescent="0.35">
      <c r="A25" s="113"/>
      <c r="B25" s="113"/>
      <c r="C25" s="113"/>
      <c r="D25" s="113"/>
      <c r="E25" s="114"/>
      <c r="F25" s="114">
        <f t="shared" si="0"/>
        <v>0</v>
      </c>
    </row>
    <row r="26" spans="1:6" x14ac:dyDescent="0.35">
      <c r="A26" s="110" t="s">
        <v>205</v>
      </c>
      <c r="B26" s="110"/>
      <c r="C26" s="113"/>
      <c r="D26" s="113"/>
      <c r="E26" s="114"/>
      <c r="F26" s="114">
        <f t="shared" si="0"/>
        <v>0</v>
      </c>
    </row>
    <row r="27" spans="1:6" x14ac:dyDescent="0.35">
      <c r="A27" s="115" t="s">
        <v>206</v>
      </c>
      <c r="B27" s="115">
        <v>1</v>
      </c>
      <c r="C27" s="113">
        <f>E2</f>
        <v>0</v>
      </c>
      <c r="D27" s="113"/>
      <c r="E27" s="114"/>
      <c r="F27" s="114">
        <f>+B27*C27*E27</f>
        <v>0</v>
      </c>
    </row>
    <row r="28" spans="1:6" x14ac:dyDescent="0.35">
      <c r="A28" s="115" t="s">
        <v>207</v>
      </c>
      <c r="B28" s="115">
        <v>1</v>
      </c>
      <c r="C28" s="113">
        <f>E2*0.2</f>
        <v>0</v>
      </c>
      <c r="D28" s="113"/>
      <c r="E28" s="114"/>
      <c r="F28" s="114">
        <f>+B28*C28*E28</f>
        <v>0</v>
      </c>
    </row>
    <row r="29" spans="1:6" x14ac:dyDescent="0.35">
      <c r="A29" s="115" t="s">
        <v>208</v>
      </c>
      <c r="B29" s="115">
        <v>1</v>
      </c>
      <c r="C29" s="113">
        <f>E2</f>
        <v>0</v>
      </c>
      <c r="D29" s="113"/>
      <c r="E29" s="114"/>
      <c r="F29" s="114">
        <f>+B29*C29*E29</f>
        <v>0</v>
      </c>
    </row>
    <row r="30" spans="1:6" x14ac:dyDescent="0.35">
      <c r="A30" s="115" t="s">
        <v>209</v>
      </c>
      <c r="B30" s="115">
        <v>1</v>
      </c>
      <c r="C30" s="113"/>
      <c r="D30" s="113"/>
      <c r="E30" s="114"/>
      <c r="F30" s="114">
        <f>+B30*E30</f>
        <v>0</v>
      </c>
    </row>
    <row r="31" spans="1:6" x14ac:dyDescent="0.35">
      <c r="A31" s="115" t="s">
        <v>210</v>
      </c>
      <c r="B31" s="115">
        <v>1</v>
      </c>
      <c r="C31" s="113">
        <f>E2</f>
        <v>0</v>
      </c>
      <c r="D31" s="113"/>
      <c r="E31" s="114"/>
      <c r="F31" s="114">
        <f>+B31*C31*E31</f>
        <v>0</v>
      </c>
    </row>
    <row r="32" spans="1:6" x14ac:dyDescent="0.35">
      <c r="A32" s="113"/>
      <c r="B32" s="113"/>
      <c r="C32" s="113"/>
      <c r="D32" s="113"/>
      <c r="E32" s="114"/>
      <c r="F32" s="114"/>
    </row>
    <row r="33" spans="1:6" x14ac:dyDescent="0.35">
      <c r="A33" s="110" t="s">
        <v>211</v>
      </c>
      <c r="B33" s="110"/>
      <c r="C33" s="113"/>
      <c r="D33" s="113"/>
      <c r="E33" s="114"/>
      <c r="F33" s="114"/>
    </row>
    <row r="34" spans="1:6" x14ac:dyDescent="0.35">
      <c r="A34" s="115" t="s">
        <v>212</v>
      </c>
      <c r="B34" s="115">
        <v>1</v>
      </c>
      <c r="C34" s="113">
        <f>E2*0.5</f>
        <v>0</v>
      </c>
      <c r="D34" s="113"/>
      <c r="E34" s="114"/>
      <c r="F34" s="114">
        <f>+B34*C34*E34</f>
        <v>0</v>
      </c>
    </row>
    <row r="35" spans="1:6" x14ac:dyDescent="0.35">
      <c r="A35" s="115" t="s">
        <v>213</v>
      </c>
      <c r="B35" s="115">
        <v>44</v>
      </c>
      <c r="C35" s="113"/>
      <c r="D35" s="113"/>
      <c r="E35" s="114"/>
      <c r="F35" s="114">
        <f>+B35*E35</f>
        <v>0</v>
      </c>
    </row>
    <row r="36" spans="1:6" x14ac:dyDescent="0.35">
      <c r="A36" s="113"/>
      <c r="B36" s="113"/>
      <c r="C36" s="113"/>
      <c r="D36" s="113"/>
      <c r="E36" s="114"/>
      <c r="F36" s="114"/>
    </row>
    <row r="37" spans="1:6" x14ac:dyDescent="0.35">
      <c r="A37" s="110" t="s">
        <v>214</v>
      </c>
      <c r="B37" s="110"/>
      <c r="C37" s="113"/>
      <c r="D37" s="113"/>
      <c r="E37" s="114"/>
      <c r="F37" s="114"/>
    </row>
    <row r="38" spans="1:6" x14ac:dyDescent="0.35">
      <c r="A38" s="115" t="s">
        <v>215</v>
      </c>
      <c r="B38" s="115">
        <v>2</v>
      </c>
      <c r="C38" s="113">
        <f>E2</f>
        <v>0</v>
      </c>
      <c r="D38" s="113"/>
      <c r="E38" s="114"/>
      <c r="F38" s="114">
        <f>+B38*C38*E38</f>
        <v>0</v>
      </c>
    </row>
    <row r="39" spans="1:6" x14ac:dyDescent="0.35">
      <c r="A39" s="113"/>
      <c r="B39" s="113"/>
      <c r="C39" s="113"/>
      <c r="D39" s="113"/>
      <c r="E39" s="114"/>
      <c r="F39" s="114"/>
    </row>
    <row r="40" spans="1:6" x14ac:dyDescent="0.35">
      <c r="A40" s="110" t="s">
        <v>216</v>
      </c>
      <c r="B40" s="110"/>
      <c r="C40" s="113"/>
      <c r="D40" s="113"/>
      <c r="E40" s="114"/>
      <c r="F40" s="114"/>
    </row>
    <row r="41" spans="1:6" x14ac:dyDescent="0.35">
      <c r="A41" s="115" t="s">
        <v>217</v>
      </c>
      <c r="B41" s="115"/>
      <c r="C41" s="113"/>
      <c r="D41" s="113">
        <f>E3</f>
        <v>0</v>
      </c>
      <c r="E41" s="114"/>
      <c r="F41" s="114">
        <f>+D41*E41</f>
        <v>0</v>
      </c>
    </row>
    <row r="42" spans="1:6" x14ac:dyDescent="0.35">
      <c r="A42" s="113"/>
      <c r="B42" s="113"/>
      <c r="C42" s="113"/>
      <c r="D42" s="113"/>
      <c r="E42" s="114"/>
      <c r="F42" s="114"/>
    </row>
    <row r="43" spans="1:6" x14ac:dyDescent="0.35">
      <c r="A43" s="110" t="s">
        <v>218</v>
      </c>
      <c r="B43" s="110"/>
      <c r="C43" s="113"/>
      <c r="D43" s="113"/>
      <c r="E43" s="114"/>
      <c r="F43" s="114"/>
    </row>
    <row r="44" spans="1:6" x14ac:dyDescent="0.35">
      <c r="A44" s="115" t="s">
        <v>219</v>
      </c>
      <c r="B44" s="115">
        <v>1</v>
      </c>
      <c r="C44" s="113"/>
      <c r="D44" s="113"/>
      <c r="E44" s="114"/>
      <c r="F44" s="114">
        <f>+B44*E44</f>
        <v>0</v>
      </c>
    </row>
    <row r="45" spans="1:6" x14ac:dyDescent="0.35">
      <c r="A45" s="113"/>
      <c r="B45" s="113"/>
      <c r="C45" s="113"/>
      <c r="D45" s="113"/>
      <c r="E45" s="114"/>
      <c r="F45" s="114"/>
    </row>
    <row r="46" spans="1:6" x14ac:dyDescent="0.35">
      <c r="A46" s="113"/>
      <c r="B46" s="113"/>
      <c r="C46" s="113"/>
      <c r="D46" s="113"/>
      <c r="E46" s="114"/>
      <c r="F46" s="114"/>
    </row>
    <row r="47" spans="1:6" x14ac:dyDescent="0.35">
      <c r="A47" s="107" t="s">
        <v>220</v>
      </c>
      <c r="B47" s="107"/>
      <c r="C47" s="107"/>
      <c r="D47" s="107"/>
      <c r="E47" s="116"/>
      <c r="F47" s="116">
        <f>SUM(F8:F46)</f>
        <v>0</v>
      </c>
    </row>
    <row r="82" spans="5:5" x14ac:dyDescent="0.35">
      <c r="E82" s="114"/>
    </row>
    <row r="83" spans="5:5" x14ac:dyDescent="0.35">
      <c r="E83" s="114">
        <v>400</v>
      </c>
    </row>
    <row r="84" spans="5:5" x14ac:dyDescent="0.35">
      <c r="E84" s="114">
        <v>500</v>
      </c>
    </row>
    <row r="85" spans="5:5" x14ac:dyDescent="0.35">
      <c r="E85" s="114">
        <v>100</v>
      </c>
    </row>
    <row r="86" spans="5:5" x14ac:dyDescent="0.35">
      <c r="E86" s="114">
        <v>50</v>
      </c>
    </row>
    <row r="87" spans="5:5" x14ac:dyDescent="0.35">
      <c r="E87" s="114"/>
    </row>
    <row r="88" spans="5:5" x14ac:dyDescent="0.35">
      <c r="E88" s="114"/>
    </row>
    <row r="89" spans="5:5" x14ac:dyDescent="0.35">
      <c r="E89" s="114">
        <v>100</v>
      </c>
    </row>
    <row r="90" spans="5:5" x14ac:dyDescent="0.35">
      <c r="E90" s="114">
        <v>100</v>
      </c>
    </row>
    <row r="91" spans="5:5" x14ac:dyDescent="0.35">
      <c r="E91" s="114"/>
    </row>
    <row r="92" spans="5:5" x14ac:dyDescent="0.35">
      <c r="E92" s="114"/>
    </row>
    <row r="93" spans="5:5" x14ac:dyDescent="0.35">
      <c r="E93" s="114">
        <v>5</v>
      </c>
    </row>
    <row r="94" spans="5:5" x14ac:dyDescent="0.35">
      <c r="E94" s="114">
        <v>65</v>
      </c>
    </row>
    <row r="95" spans="5:5" x14ac:dyDescent="0.35">
      <c r="E95" s="114">
        <v>30</v>
      </c>
    </row>
    <row r="96" spans="5:5" x14ac:dyDescent="0.35">
      <c r="E96" s="114"/>
    </row>
    <row r="97" spans="5:5" x14ac:dyDescent="0.35">
      <c r="E97" s="114"/>
    </row>
    <row r="98" spans="5:5" x14ac:dyDescent="0.35">
      <c r="E98" s="114">
        <v>500</v>
      </c>
    </row>
    <row r="99" spans="5:5" x14ac:dyDescent="0.35">
      <c r="E99" s="114">
        <v>250</v>
      </c>
    </row>
    <row r="100" spans="5:5" x14ac:dyDescent="0.35">
      <c r="E100" s="114"/>
    </row>
    <row r="101" spans="5:5" x14ac:dyDescent="0.35">
      <c r="E101" s="114"/>
    </row>
    <row r="102" spans="5:5" x14ac:dyDescent="0.35">
      <c r="E102" s="114">
        <v>1500</v>
      </c>
    </row>
    <row r="103" spans="5:5" x14ac:dyDescent="0.35">
      <c r="E103" s="114">
        <v>1500</v>
      </c>
    </row>
    <row r="104" spans="5:5" x14ac:dyDescent="0.35">
      <c r="E104" s="114">
        <v>200</v>
      </c>
    </row>
    <row r="105" spans="5:5" x14ac:dyDescent="0.35">
      <c r="E105" s="114">
        <v>500</v>
      </c>
    </row>
    <row r="106" spans="5:5" x14ac:dyDescent="0.35">
      <c r="E106" s="114">
        <v>250</v>
      </c>
    </row>
    <row r="107" spans="5:5" x14ac:dyDescent="0.35">
      <c r="E107" s="114"/>
    </row>
    <row r="108" spans="5:5" x14ac:dyDescent="0.35">
      <c r="E108" s="114"/>
    </row>
    <row r="109" spans="5:5" x14ac:dyDescent="0.35">
      <c r="E109" s="114">
        <v>150</v>
      </c>
    </row>
    <row r="110" spans="5:5" x14ac:dyDescent="0.35">
      <c r="E110" s="114">
        <v>5</v>
      </c>
    </row>
    <row r="111" spans="5:5" x14ac:dyDescent="0.35">
      <c r="E111" s="114"/>
    </row>
    <row r="112" spans="5:5" x14ac:dyDescent="0.35">
      <c r="E112" s="114"/>
    </row>
    <row r="113" spans="5:5" x14ac:dyDescent="0.35">
      <c r="E113" s="114">
        <v>350</v>
      </c>
    </row>
    <row r="114" spans="5:5" x14ac:dyDescent="0.35">
      <c r="E114" s="114"/>
    </row>
    <row r="115" spans="5:5" x14ac:dyDescent="0.35">
      <c r="E115" s="114"/>
    </row>
    <row r="116" spans="5:5" x14ac:dyDescent="0.35">
      <c r="E116" s="114">
        <v>1000</v>
      </c>
    </row>
    <row r="117" spans="5:5" x14ac:dyDescent="0.35">
      <c r="E117" s="114"/>
    </row>
    <row r="118" spans="5:5" x14ac:dyDescent="0.35">
      <c r="E118" s="114"/>
    </row>
    <row r="119" spans="5:5" x14ac:dyDescent="0.35">
      <c r="E119" s="114">
        <v>500</v>
      </c>
    </row>
    <row r="120" spans="5:5" x14ac:dyDescent="0.35">
      <c r="E120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Carpentry</vt:lpstr>
      <vt:lpstr>Conc</vt:lpstr>
      <vt:lpstr>Reo</vt:lpstr>
      <vt:lpstr>Subs</vt:lpstr>
      <vt:lpstr>P&amp;G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morade</dc:creator>
  <cp:lastModifiedBy>Ronnie Matafeo</cp:lastModifiedBy>
  <cp:lastPrinted>2014-09-28T18:16:53Z</cp:lastPrinted>
  <dcterms:created xsi:type="dcterms:W3CDTF">2014-08-12T22:53:18Z</dcterms:created>
  <dcterms:modified xsi:type="dcterms:W3CDTF">2023-04-13T04:24:08Z</dcterms:modified>
</cp:coreProperties>
</file>